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3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4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5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6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7.xml" ContentType="application/vnd.openxmlformats-officedocument.drawing+xml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drawings/drawing8.xml" ContentType="application/vnd.openxmlformats-officedocument.drawing+xml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drawings/drawing9.xml" ContentType="application/vnd.openxmlformats-officedocument.drawing+xml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drawings/drawing10.xml" ContentType="application/vnd.openxmlformats-officedocument.drawing+xml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drawings/drawing11.xml" ContentType="application/vnd.openxmlformats-officedocument.drawing+xml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200" windowHeight="6465" tabRatio="831"/>
  </bookViews>
  <sheets>
    <sheet name="Title Sheet" sheetId="30" r:id="rId1"/>
    <sheet name="Table S1" sheetId="29" r:id="rId2"/>
    <sheet name="Table S2" sheetId="5" r:id="rId3"/>
    <sheet name="Table S3" sheetId="6" r:id="rId4"/>
    <sheet name="Table S4" sheetId="21" r:id="rId5"/>
    <sheet name="Table S5" sheetId="22" r:id="rId6"/>
    <sheet name="Table S6" sheetId="23" r:id="rId7"/>
    <sheet name="Table S7" sheetId="24" r:id="rId8"/>
    <sheet name="Table S8" sheetId="25" r:id="rId9"/>
    <sheet name="Table S9" sheetId="26" r:id="rId10"/>
    <sheet name="Table S10" sheetId="27" r:id="rId11"/>
    <sheet name="Table S11" sheetId="28" r:id="rId12"/>
    <sheet name="Table S12" sheetId="18" r:id="rId13"/>
    <sheet name="Table S13" sheetId="20" r:id="rId14"/>
    <sheet name="References" sheetId="17" r:id="rId15"/>
  </sheets>
  <definedNames>
    <definedName name="_ftn1" localSheetId="0">'Title Sheet'!$B$13</definedName>
    <definedName name="_ftnref1" localSheetId="0">'Title Sheet'!$B$5</definedName>
    <definedName name="APHA_SMWW_1999" localSheetId="14">References!$A$7</definedName>
    <definedName name="ISO_7888" localSheetId="14">References!$A$8</definedName>
    <definedName name="_xlnm.Print_Area" localSheetId="0">'Title Sheet'!$A$1:$O$18</definedName>
    <definedName name="Table_Sensor_Characteristics" localSheetId="1">'Table S1'!$A$6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28" l="1"/>
  <c r="M63" i="28" s="1"/>
  <c r="B62" i="28"/>
  <c r="L62" i="28" s="1"/>
  <c r="B61" i="28"/>
  <c r="O61" i="28" s="1"/>
  <c r="F50" i="28"/>
  <c r="D50" i="28" s="1"/>
  <c r="D63" i="28" s="1"/>
  <c r="F49" i="28"/>
  <c r="D49" i="28" s="1"/>
  <c r="D62" i="28" s="1"/>
  <c r="F48" i="28"/>
  <c r="D48" i="28" s="1"/>
  <c r="D61" i="28" s="1"/>
  <c r="I46" i="28"/>
  <c r="F46" i="28"/>
  <c r="D46" i="28" s="1"/>
  <c r="E46" i="28" s="1"/>
  <c r="B46" i="28"/>
  <c r="B59" i="28" s="1"/>
  <c r="F45" i="28"/>
  <c r="D45" i="28"/>
  <c r="F44" i="28"/>
  <c r="D44" i="28"/>
  <c r="D57" i="28" s="1"/>
  <c r="B44" i="28"/>
  <c r="B57" i="28" s="1"/>
  <c r="I43" i="28"/>
  <c r="F43" i="28"/>
  <c r="D43" i="28"/>
  <c r="D56" i="28" s="1"/>
  <c r="B43" i="28"/>
  <c r="B56" i="28" s="1"/>
  <c r="I42" i="28"/>
  <c r="F42" i="28"/>
  <c r="D42" i="28"/>
  <c r="D55" i="28" s="1"/>
  <c r="B42" i="28"/>
  <c r="B55" i="28" s="1"/>
  <c r="O26" i="28"/>
  <c r="B34" i="28" s="1"/>
  <c r="B47" i="28" s="1"/>
  <c r="B25" i="28"/>
  <c r="B45" i="28" s="1"/>
  <c r="B58" i="28" s="1"/>
  <c r="B65" i="27"/>
  <c r="O65" i="27" s="1"/>
  <c r="P64" i="27"/>
  <c r="B64" i="27"/>
  <c r="L64" i="27" s="1"/>
  <c r="P63" i="27"/>
  <c r="B63" i="27"/>
  <c r="O63" i="27" s="1"/>
  <c r="P62" i="27"/>
  <c r="B62" i="27"/>
  <c r="O62" i="27" s="1"/>
  <c r="F52" i="27"/>
  <c r="D52" i="27" s="1"/>
  <c r="D65" i="27" s="1"/>
  <c r="P65" i="27" s="1"/>
  <c r="F51" i="27"/>
  <c r="D51" i="27" s="1"/>
  <c r="D64" i="27" s="1"/>
  <c r="F50" i="27"/>
  <c r="D50" i="27" s="1"/>
  <c r="D63" i="27" s="1"/>
  <c r="F49" i="27"/>
  <c r="D49" i="27" s="1"/>
  <c r="D62" i="27" s="1"/>
  <c r="I47" i="27"/>
  <c r="D47" i="27" s="1"/>
  <c r="F47" i="27"/>
  <c r="B47" i="27"/>
  <c r="B60" i="27" s="1"/>
  <c r="F46" i="27"/>
  <c r="D46" i="27"/>
  <c r="D59" i="27" s="1"/>
  <c r="F45" i="27"/>
  <c r="D45" i="27" s="1"/>
  <c r="D58" i="27" s="1"/>
  <c r="B45" i="27"/>
  <c r="B58" i="27" s="1"/>
  <c r="I44" i="27"/>
  <c r="F44" i="27"/>
  <c r="B44" i="27"/>
  <c r="B57" i="27" s="1"/>
  <c r="I43" i="27"/>
  <c r="F43" i="27"/>
  <c r="B43" i="27"/>
  <c r="B56" i="27" s="1"/>
  <c r="O27" i="27"/>
  <c r="B35" i="27" s="1"/>
  <c r="B48" i="27" s="1"/>
  <c r="B26" i="27"/>
  <c r="B46" i="27" s="1"/>
  <c r="E46" i="27" s="1"/>
  <c r="B63" i="26"/>
  <c r="M63" i="26" s="1"/>
  <c r="B62" i="26"/>
  <c r="L61" i="26"/>
  <c r="I61" i="26"/>
  <c r="H61" i="26"/>
  <c r="B61" i="26"/>
  <c r="N59" i="26"/>
  <c r="J59" i="26"/>
  <c r="O56" i="26"/>
  <c r="F50" i="26"/>
  <c r="D50" i="26" s="1"/>
  <c r="D63" i="26" s="1"/>
  <c r="F49" i="26"/>
  <c r="D49" i="26" s="1"/>
  <c r="D62" i="26" s="1"/>
  <c r="F48" i="26"/>
  <c r="D48" i="26" s="1"/>
  <c r="D61" i="26" s="1"/>
  <c r="I46" i="26"/>
  <c r="F46" i="26"/>
  <c r="D46" i="26"/>
  <c r="E46" i="26" s="1"/>
  <c r="B46" i="26"/>
  <c r="B59" i="26" s="1"/>
  <c r="G59" i="26" s="1"/>
  <c r="F45" i="26"/>
  <c r="D45" i="26" s="1"/>
  <c r="F44" i="26"/>
  <c r="D44" i="26"/>
  <c r="D57" i="26" s="1"/>
  <c r="B44" i="26"/>
  <c r="B57" i="26" s="1"/>
  <c r="I43" i="26"/>
  <c r="D43" i="26" s="1"/>
  <c r="F43" i="26"/>
  <c r="B43" i="26"/>
  <c r="B56" i="26" s="1"/>
  <c r="G56" i="26" s="1"/>
  <c r="I42" i="26"/>
  <c r="F42" i="26"/>
  <c r="D42" i="26" s="1"/>
  <c r="D55" i="26" s="1"/>
  <c r="B42" i="26"/>
  <c r="B55" i="26" s="1"/>
  <c r="J55" i="26" s="1"/>
  <c r="O26" i="26"/>
  <c r="B34" i="26" s="1"/>
  <c r="B47" i="26" s="1"/>
  <c r="B25" i="26"/>
  <c r="B45" i="26" s="1"/>
  <c r="B58" i="26" s="1"/>
  <c r="H65" i="25"/>
  <c r="B65" i="25"/>
  <c r="O65" i="25" s="1"/>
  <c r="P64" i="25"/>
  <c r="H64" i="25"/>
  <c r="B64" i="25"/>
  <c r="L64" i="25" s="1"/>
  <c r="P63" i="25"/>
  <c r="H63" i="25"/>
  <c r="B63" i="25"/>
  <c r="O63" i="25" s="1"/>
  <c r="P62" i="25"/>
  <c r="H62" i="25"/>
  <c r="B62" i="25"/>
  <c r="O62" i="25" s="1"/>
  <c r="F52" i="25"/>
  <c r="D52" i="25" s="1"/>
  <c r="D65" i="25" s="1"/>
  <c r="P65" i="25" s="1"/>
  <c r="F51" i="25"/>
  <c r="D51" i="25" s="1"/>
  <c r="D64" i="25" s="1"/>
  <c r="F50" i="25"/>
  <c r="D50" i="25" s="1"/>
  <c r="D63" i="25" s="1"/>
  <c r="F49" i="25"/>
  <c r="D49" i="25" s="1"/>
  <c r="D62" i="25" s="1"/>
  <c r="I47" i="25"/>
  <c r="D47" i="25" s="1"/>
  <c r="F47" i="25"/>
  <c r="B47" i="25"/>
  <c r="B60" i="25" s="1"/>
  <c r="F46" i="25"/>
  <c r="D46" i="25"/>
  <c r="D59" i="25" s="1"/>
  <c r="F45" i="25"/>
  <c r="D45" i="25" s="1"/>
  <c r="D58" i="25" s="1"/>
  <c r="B45" i="25"/>
  <c r="B58" i="25" s="1"/>
  <c r="I44" i="25"/>
  <c r="F44" i="25"/>
  <c r="B44" i="25"/>
  <c r="B57" i="25" s="1"/>
  <c r="I43" i="25"/>
  <c r="D43" i="25" s="1"/>
  <c r="D56" i="25" s="1"/>
  <c r="F43" i="25"/>
  <c r="B43" i="25"/>
  <c r="B56" i="25" s="1"/>
  <c r="O27" i="25"/>
  <c r="B35" i="25" s="1"/>
  <c r="B48" i="25" s="1"/>
  <c r="B26" i="25"/>
  <c r="B46" i="25" s="1"/>
  <c r="B59" i="25" s="1"/>
  <c r="B63" i="24"/>
  <c r="M63" i="24" s="1"/>
  <c r="B62" i="24"/>
  <c r="M62" i="24" s="1"/>
  <c r="L61" i="24"/>
  <c r="H61" i="24"/>
  <c r="B61" i="24"/>
  <c r="O61" i="24" s="1"/>
  <c r="J55" i="24"/>
  <c r="F50" i="24"/>
  <c r="D50" i="24"/>
  <c r="D63" i="24" s="1"/>
  <c r="O63" i="24" s="1"/>
  <c r="F49" i="24"/>
  <c r="D49" i="24" s="1"/>
  <c r="D62" i="24" s="1"/>
  <c r="F48" i="24"/>
  <c r="D48" i="24" s="1"/>
  <c r="D61" i="24" s="1"/>
  <c r="I46" i="24"/>
  <c r="D46" i="24" s="1"/>
  <c r="F46" i="24"/>
  <c r="B46" i="24"/>
  <c r="B59" i="24" s="1"/>
  <c r="J59" i="24" s="1"/>
  <c r="F45" i="24"/>
  <c r="D45" i="24"/>
  <c r="F44" i="24"/>
  <c r="D44" i="24"/>
  <c r="D57" i="24" s="1"/>
  <c r="B44" i="24"/>
  <c r="B57" i="24" s="1"/>
  <c r="L57" i="24" s="1"/>
  <c r="I43" i="24"/>
  <c r="D43" i="24" s="1"/>
  <c r="F43" i="24"/>
  <c r="B43" i="24"/>
  <c r="B56" i="24" s="1"/>
  <c r="O56" i="24" s="1"/>
  <c r="I42" i="24"/>
  <c r="F42" i="24"/>
  <c r="B42" i="24"/>
  <c r="B55" i="24" s="1"/>
  <c r="N55" i="24" s="1"/>
  <c r="B34" i="24"/>
  <c r="B47" i="24" s="1"/>
  <c r="B60" i="24" s="1"/>
  <c r="O26" i="24"/>
  <c r="B25" i="24"/>
  <c r="B45" i="24" s="1"/>
  <c r="B58" i="24" s="1"/>
  <c r="K65" i="23"/>
  <c r="B65" i="23"/>
  <c r="N65" i="23" s="1"/>
  <c r="K64" i="23"/>
  <c r="G64" i="23"/>
  <c r="B64" i="23"/>
  <c r="N64" i="23" s="1"/>
  <c r="O63" i="23"/>
  <c r="K63" i="23"/>
  <c r="G63" i="23"/>
  <c r="B63" i="23"/>
  <c r="O62" i="23"/>
  <c r="K62" i="23"/>
  <c r="G62" i="23"/>
  <c r="B62" i="23"/>
  <c r="N62" i="23" s="1"/>
  <c r="F52" i="23"/>
  <c r="D52" i="23" s="1"/>
  <c r="D65" i="23" s="1"/>
  <c r="F51" i="23"/>
  <c r="D51" i="23" s="1"/>
  <c r="D64" i="23" s="1"/>
  <c r="O64" i="23" s="1"/>
  <c r="F50" i="23"/>
  <c r="D50" i="23" s="1"/>
  <c r="D63" i="23" s="1"/>
  <c r="F49" i="23"/>
  <c r="D49" i="23"/>
  <c r="D62" i="23" s="1"/>
  <c r="I47" i="23"/>
  <c r="F47" i="23"/>
  <c r="D47" i="23" s="1"/>
  <c r="B47" i="23"/>
  <c r="B60" i="23" s="1"/>
  <c r="F46" i="23"/>
  <c r="D46" i="23" s="1"/>
  <c r="F45" i="23"/>
  <c r="D45" i="23" s="1"/>
  <c r="D58" i="23" s="1"/>
  <c r="B45" i="23"/>
  <c r="B58" i="23" s="1"/>
  <c r="I44" i="23"/>
  <c r="F44" i="23"/>
  <c r="D44" i="23" s="1"/>
  <c r="B44" i="23"/>
  <c r="B57" i="23" s="1"/>
  <c r="I43" i="23"/>
  <c r="D43" i="23" s="1"/>
  <c r="D56" i="23" s="1"/>
  <c r="F43" i="23"/>
  <c r="B43" i="23"/>
  <c r="B56" i="23" s="1"/>
  <c r="O27" i="23"/>
  <c r="B35" i="23" s="1"/>
  <c r="B48" i="23" s="1"/>
  <c r="B26" i="23"/>
  <c r="B46" i="23" s="1"/>
  <c r="B59" i="23" s="1"/>
  <c r="O65" i="23" l="1"/>
  <c r="N63" i="24"/>
  <c r="O63" i="26"/>
  <c r="G63" i="26"/>
  <c r="L63" i="26"/>
  <c r="K63" i="24"/>
  <c r="K63" i="26"/>
  <c r="H62" i="27"/>
  <c r="H63" i="27"/>
  <c r="H64" i="27"/>
  <c r="H65" i="27"/>
  <c r="N59" i="24"/>
  <c r="G63" i="24"/>
  <c r="H63" i="26"/>
  <c r="N63" i="26"/>
  <c r="G65" i="23"/>
  <c r="D42" i="24"/>
  <c r="D55" i="24" s="1"/>
  <c r="I62" i="24"/>
  <c r="J63" i="24"/>
  <c r="D44" i="25"/>
  <c r="D57" i="25" s="1"/>
  <c r="H57" i="25" s="1"/>
  <c r="L62" i="25"/>
  <c r="L63" i="25"/>
  <c r="L65" i="25"/>
  <c r="J63" i="26"/>
  <c r="D43" i="27"/>
  <c r="D56" i="27" s="1"/>
  <c r="D44" i="27"/>
  <c r="L62" i="27"/>
  <c r="L63" i="27"/>
  <c r="L65" i="27"/>
  <c r="B60" i="28"/>
  <c r="F47" i="28"/>
  <c r="D47" i="28" s="1"/>
  <c r="E45" i="28"/>
  <c r="M59" i="28"/>
  <c r="I59" i="28"/>
  <c r="B66" i="28"/>
  <c r="L59" i="28"/>
  <c r="H59" i="28"/>
  <c r="O59" i="28"/>
  <c r="G59" i="28"/>
  <c r="N59" i="28"/>
  <c r="J59" i="28"/>
  <c r="M55" i="28"/>
  <c r="I55" i="28"/>
  <c r="L55" i="28"/>
  <c r="H55" i="28"/>
  <c r="O55" i="28"/>
  <c r="K55" i="28"/>
  <c r="G55" i="28"/>
  <c r="N55" i="28"/>
  <c r="J55" i="28"/>
  <c r="N56" i="28"/>
  <c r="J56" i="28"/>
  <c r="M56" i="28"/>
  <c r="I56" i="28"/>
  <c r="L56" i="28"/>
  <c r="H56" i="28"/>
  <c r="O56" i="28"/>
  <c r="K56" i="28"/>
  <c r="G56" i="28"/>
  <c r="O57" i="28"/>
  <c r="K57" i="28"/>
  <c r="G57" i="28"/>
  <c r="N57" i="28"/>
  <c r="J57" i="28"/>
  <c r="M57" i="28"/>
  <c r="I57" i="28"/>
  <c r="L57" i="28"/>
  <c r="H57" i="28"/>
  <c r="L58" i="28"/>
  <c r="H58" i="28"/>
  <c r="O58" i="28"/>
  <c r="K58" i="28"/>
  <c r="G58" i="28"/>
  <c r="N58" i="28"/>
  <c r="J58" i="28"/>
  <c r="M58" i="28"/>
  <c r="I58" i="28"/>
  <c r="D59" i="28"/>
  <c r="K59" i="28" s="1"/>
  <c r="H61" i="28"/>
  <c r="L61" i="28"/>
  <c r="I62" i="28"/>
  <c r="M62" i="28"/>
  <c r="J63" i="28"/>
  <c r="N63" i="28"/>
  <c r="D58" i="28"/>
  <c r="I61" i="28"/>
  <c r="M61" i="28"/>
  <c r="J62" i="28"/>
  <c r="N62" i="28"/>
  <c r="G63" i="28"/>
  <c r="K63" i="28"/>
  <c r="O63" i="28"/>
  <c r="E43" i="28"/>
  <c r="J61" i="28"/>
  <c r="N61" i="28"/>
  <c r="G62" i="28"/>
  <c r="K62" i="28"/>
  <c r="O62" i="28"/>
  <c r="H63" i="28"/>
  <c r="L63" i="28"/>
  <c r="G61" i="28"/>
  <c r="K61" i="28"/>
  <c r="H62" i="28"/>
  <c r="I63" i="28"/>
  <c r="F48" i="27"/>
  <c r="D48" i="27" s="1"/>
  <c r="B61" i="27"/>
  <c r="O57" i="27"/>
  <c r="K57" i="27"/>
  <c r="G57" i="27"/>
  <c r="P57" i="27"/>
  <c r="N57" i="27"/>
  <c r="J57" i="27"/>
  <c r="L57" i="27"/>
  <c r="M57" i="27"/>
  <c r="I57" i="27"/>
  <c r="H57" i="27"/>
  <c r="O64" i="27"/>
  <c r="D60" i="27"/>
  <c r="K60" i="27" s="1"/>
  <c r="E47" i="27"/>
  <c r="O56" i="27"/>
  <c r="K56" i="27"/>
  <c r="G56" i="27"/>
  <c r="P56" i="27"/>
  <c r="H56" i="27"/>
  <c r="N56" i="27"/>
  <c r="J56" i="27"/>
  <c r="L56" i="27"/>
  <c r="M56" i="27"/>
  <c r="I56" i="27"/>
  <c r="O60" i="27"/>
  <c r="G60" i="27"/>
  <c r="P60" i="27"/>
  <c r="N60" i="27"/>
  <c r="J60" i="27"/>
  <c r="L60" i="27"/>
  <c r="M60" i="27"/>
  <c r="I60" i="27"/>
  <c r="H60" i="27"/>
  <c r="O58" i="27"/>
  <c r="K58" i="27"/>
  <c r="G58" i="27"/>
  <c r="N58" i="27"/>
  <c r="J58" i="27"/>
  <c r="L58" i="27"/>
  <c r="M58" i="27"/>
  <c r="I58" i="27"/>
  <c r="P58" i="27"/>
  <c r="H58" i="27"/>
  <c r="D57" i="27"/>
  <c r="E44" i="27"/>
  <c r="B59" i="27"/>
  <c r="I62" i="27"/>
  <c r="M62" i="27"/>
  <c r="I63" i="27"/>
  <c r="M63" i="27"/>
  <c r="I64" i="27"/>
  <c r="M64" i="27"/>
  <c r="I65" i="27"/>
  <c r="M65" i="27"/>
  <c r="J62" i="27"/>
  <c r="N62" i="27"/>
  <c r="J63" i="27"/>
  <c r="N63" i="27"/>
  <c r="J64" i="27"/>
  <c r="N64" i="27"/>
  <c r="J65" i="27"/>
  <c r="N65" i="27"/>
  <c r="G62" i="27"/>
  <c r="K62" i="27"/>
  <c r="G63" i="27"/>
  <c r="K63" i="27"/>
  <c r="G64" i="27"/>
  <c r="K64" i="27"/>
  <c r="G65" i="27"/>
  <c r="K65" i="27"/>
  <c r="O59" i="26"/>
  <c r="D56" i="26"/>
  <c r="E43" i="26"/>
  <c r="L58" i="26"/>
  <c r="H58" i="26"/>
  <c r="O58" i="26"/>
  <c r="K58" i="26"/>
  <c r="G58" i="26"/>
  <c r="N58" i="26"/>
  <c r="M58" i="26"/>
  <c r="I58" i="26"/>
  <c r="B60" i="26"/>
  <c r="B66" i="26" s="1"/>
  <c r="F47" i="26"/>
  <c r="D47" i="26" s="1"/>
  <c r="O57" i="26"/>
  <c r="K57" i="26"/>
  <c r="G57" i="26"/>
  <c r="N57" i="26"/>
  <c r="J57" i="26"/>
  <c r="I57" i="26"/>
  <c r="H57" i="26"/>
  <c r="M57" i="26"/>
  <c r="L57" i="26"/>
  <c r="D59" i="26"/>
  <c r="K59" i="26" s="1"/>
  <c r="L62" i="26"/>
  <c r="H62" i="26"/>
  <c r="O62" i="26"/>
  <c r="K62" i="26"/>
  <c r="G62" i="26"/>
  <c r="M62" i="26"/>
  <c r="M55" i="26"/>
  <c r="I55" i="26"/>
  <c r="L55" i="26"/>
  <c r="H55" i="26"/>
  <c r="N56" i="26"/>
  <c r="J56" i="26"/>
  <c r="M56" i="26"/>
  <c r="I56" i="26"/>
  <c r="E45" i="26"/>
  <c r="K55" i="26"/>
  <c r="H56" i="26"/>
  <c r="N62" i="26"/>
  <c r="N55" i="26"/>
  <c r="K56" i="26"/>
  <c r="I62" i="26"/>
  <c r="M59" i="26"/>
  <c r="I59" i="26"/>
  <c r="L59" i="26"/>
  <c r="H59" i="26"/>
  <c r="G55" i="26"/>
  <c r="O55" i="26"/>
  <c r="L56" i="26"/>
  <c r="D58" i="26"/>
  <c r="J58" i="26" s="1"/>
  <c r="O61" i="26"/>
  <c r="K61" i="26"/>
  <c r="G61" i="26"/>
  <c r="N61" i="26"/>
  <c r="J61" i="26"/>
  <c r="M61" i="26"/>
  <c r="J62" i="26"/>
  <c r="I63" i="26"/>
  <c r="O58" i="25"/>
  <c r="K58" i="25"/>
  <c r="G58" i="25"/>
  <c r="L58" i="25"/>
  <c r="N58" i="25"/>
  <c r="J58" i="25"/>
  <c r="P58" i="25"/>
  <c r="M58" i="25"/>
  <c r="I58" i="25"/>
  <c r="H58" i="25"/>
  <c r="O56" i="25"/>
  <c r="K56" i="25"/>
  <c r="G56" i="25"/>
  <c r="H56" i="25"/>
  <c r="N56" i="25"/>
  <c r="J56" i="25"/>
  <c r="P56" i="25"/>
  <c r="M56" i="25"/>
  <c r="I56" i="25"/>
  <c r="L56" i="25"/>
  <c r="O57" i="25"/>
  <c r="K57" i="25"/>
  <c r="G57" i="25"/>
  <c r="N57" i="25"/>
  <c r="J57" i="25"/>
  <c r="P57" i="25"/>
  <c r="M57" i="25"/>
  <c r="I57" i="25"/>
  <c r="L57" i="25"/>
  <c r="O64" i="25"/>
  <c r="B61" i="25"/>
  <c r="F48" i="25"/>
  <c r="D48" i="25" s="1"/>
  <c r="O60" i="25"/>
  <c r="G60" i="25"/>
  <c r="L60" i="25"/>
  <c r="N60" i="25"/>
  <c r="J60" i="25"/>
  <c r="P60" i="25"/>
  <c r="M60" i="25"/>
  <c r="I60" i="25"/>
  <c r="H60" i="25"/>
  <c r="D60" i="25"/>
  <c r="K60" i="25" s="1"/>
  <c r="E47" i="25"/>
  <c r="O59" i="25"/>
  <c r="K59" i="25"/>
  <c r="G59" i="25"/>
  <c r="L59" i="25"/>
  <c r="N59" i="25"/>
  <c r="J59" i="25"/>
  <c r="P59" i="25"/>
  <c r="M59" i="25"/>
  <c r="I59" i="25"/>
  <c r="H59" i="25"/>
  <c r="I62" i="25"/>
  <c r="M62" i="25"/>
  <c r="I63" i="25"/>
  <c r="M63" i="25"/>
  <c r="I64" i="25"/>
  <c r="M64" i="25"/>
  <c r="I65" i="25"/>
  <c r="M65" i="25"/>
  <c r="E46" i="25"/>
  <c r="J62" i="25"/>
  <c r="N62" i="25"/>
  <c r="J63" i="25"/>
  <c r="N63" i="25"/>
  <c r="J64" i="25"/>
  <c r="N64" i="25"/>
  <c r="J65" i="25"/>
  <c r="N65" i="25"/>
  <c r="G62" i="25"/>
  <c r="K62" i="25"/>
  <c r="G63" i="25"/>
  <c r="K63" i="25"/>
  <c r="G64" i="25"/>
  <c r="K64" i="25"/>
  <c r="G65" i="25"/>
  <c r="K65" i="25"/>
  <c r="E46" i="24"/>
  <c r="E45" i="24"/>
  <c r="K56" i="24"/>
  <c r="L58" i="24"/>
  <c r="H58" i="24"/>
  <c r="O58" i="24"/>
  <c r="K58" i="24"/>
  <c r="G58" i="24"/>
  <c r="N58" i="24"/>
  <c r="I58" i="24"/>
  <c r="M58" i="24"/>
  <c r="N60" i="24"/>
  <c r="J60" i="24"/>
  <c r="M60" i="24"/>
  <c r="I60" i="24"/>
  <c r="H60" i="24"/>
  <c r="N56" i="24"/>
  <c r="J56" i="24"/>
  <c r="M56" i="24"/>
  <c r="I56" i="24"/>
  <c r="L56" i="24"/>
  <c r="F47" i="24"/>
  <c r="D47" i="24" s="1"/>
  <c r="H57" i="24"/>
  <c r="G60" i="24"/>
  <c r="M55" i="24"/>
  <c r="I55" i="24"/>
  <c r="L55" i="24"/>
  <c r="H55" i="24"/>
  <c r="O55" i="24"/>
  <c r="K55" i="24"/>
  <c r="G55" i="24"/>
  <c r="M59" i="24"/>
  <c r="I59" i="24"/>
  <c r="B66" i="24"/>
  <c r="L59" i="24"/>
  <c r="H59" i="24"/>
  <c r="O59" i="24"/>
  <c r="K59" i="24"/>
  <c r="G59" i="24"/>
  <c r="G56" i="24"/>
  <c r="D59" i="24"/>
  <c r="K60" i="24"/>
  <c r="O57" i="24"/>
  <c r="K57" i="24"/>
  <c r="G57" i="24"/>
  <c r="N57" i="24"/>
  <c r="J57" i="24"/>
  <c r="M57" i="24"/>
  <c r="I57" i="24"/>
  <c r="D56" i="24"/>
  <c r="H56" i="24" s="1"/>
  <c r="E43" i="24"/>
  <c r="O60" i="24"/>
  <c r="L62" i="24"/>
  <c r="H62" i="24"/>
  <c r="O62" i="24"/>
  <c r="K62" i="24"/>
  <c r="G62" i="24"/>
  <c r="N62" i="24"/>
  <c r="J62" i="24"/>
  <c r="D58" i="24"/>
  <c r="J58" i="24" s="1"/>
  <c r="I61" i="24"/>
  <c r="M61" i="24"/>
  <c r="J61" i="24"/>
  <c r="N61" i="24"/>
  <c r="H63" i="24"/>
  <c r="L63" i="24"/>
  <c r="G61" i="24"/>
  <c r="K61" i="24"/>
  <c r="I63" i="24"/>
  <c r="N56" i="23"/>
  <c r="J56" i="23"/>
  <c r="O56" i="23"/>
  <c r="M56" i="23"/>
  <c r="I56" i="23"/>
  <c r="G56" i="23"/>
  <c r="P56" i="23"/>
  <c r="L56" i="23"/>
  <c r="H56" i="23"/>
  <c r="K56" i="23"/>
  <c r="D59" i="23"/>
  <c r="E46" i="23"/>
  <c r="N63" i="23"/>
  <c r="B61" i="23"/>
  <c r="F48" i="23"/>
  <c r="D48" i="23" s="1"/>
  <c r="N57" i="23"/>
  <c r="J57" i="23"/>
  <c r="K57" i="23"/>
  <c r="M57" i="23"/>
  <c r="I57" i="23"/>
  <c r="P57" i="23"/>
  <c r="L57" i="23"/>
  <c r="H57" i="23"/>
  <c r="O57" i="23"/>
  <c r="G57" i="23"/>
  <c r="D57" i="23"/>
  <c r="E44" i="23"/>
  <c r="N59" i="23"/>
  <c r="J59" i="23"/>
  <c r="O59" i="23"/>
  <c r="G59" i="23"/>
  <c r="M59" i="23"/>
  <c r="I59" i="23"/>
  <c r="P59" i="23"/>
  <c r="L59" i="23"/>
  <c r="H59" i="23"/>
  <c r="K59" i="23"/>
  <c r="N60" i="23"/>
  <c r="J60" i="23"/>
  <c r="O60" i="23"/>
  <c r="G60" i="23"/>
  <c r="B67" i="23"/>
  <c r="M60" i="23"/>
  <c r="I60" i="23"/>
  <c r="P60" i="23"/>
  <c r="L60" i="23"/>
  <c r="H60" i="23"/>
  <c r="N58" i="23"/>
  <c r="J58" i="23"/>
  <c r="K58" i="23"/>
  <c r="M58" i="23"/>
  <c r="I58" i="23"/>
  <c r="G58" i="23"/>
  <c r="P58" i="23"/>
  <c r="L58" i="23"/>
  <c r="H58" i="23"/>
  <c r="O58" i="23"/>
  <c r="D60" i="23"/>
  <c r="K60" i="23" s="1"/>
  <c r="E47" i="23"/>
  <c r="H62" i="23"/>
  <c r="L62" i="23"/>
  <c r="P62" i="23"/>
  <c r="H63" i="23"/>
  <c r="L63" i="23"/>
  <c r="P63" i="23"/>
  <c r="H64" i="23"/>
  <c r="L64" i="23"/>
  <c r="P64" i="23"/>
  <c r="H65" i="23"/>
  <c r="L65" i="23"/>
  <c r="P65" i="23"/>
  <c r="I62" i="23"/>
  <c r="M62" i="23"/>
  <c r="I63" i="23"/>
  <c r="M63" i="23"/>
  <c r="I64" i="23"/>
  <c r="M64" i="23"/>
  <c r="I65" i="23"/>
  <c r="M65" i="23"/>
  <c r="J62" i="23"/>
  <c r="J63" i="23"/>
  <c r="J64" i="23"/>
  <c r="J65" i="23"/>
  <c r="E44" i="25" l="1"/>
  <c r="J66" i="24"/>
  <c r="D60" i="28"/>
  <c r="L60" i="28" s="1"/>
  <c r="L66" i="28" s="1"/>
  <c r="L67" i="28" s="1"/>
  <c r="L68" i="28" s="1"/>
  <c r="E47" i="28"/>
  <c r="N60" i="28"/>
  <c r="N66" i="28" s="1"/>
  <c r="N67" i="28" s="1"/>
  <c r="N68" i="28" s="1"/>
  <c r="J60" i="28"/>
  <c r="J66" i="28" s="1"/>
  <c r="J67" i="28" s="1"/>
  <c r="J68" i="28" s="1"/>
  <c r="M60" i="28"/>
  <c r="M66" i="28" s="1"/>
  <c r="M67" i="28" s="1"/>
  <c r="M68" i="28" s="1"/>
  <c r="I60" i="28"/>
  <c r="I66" i="28" s="1"/>
  <c r="I67" i="28" s="1"/>
  <c r="I68" i="28" s="1"/>
  <c r="H60" i="28"/>
  <c r="H66" i="28" s="1"/>
  <c r="H67" i="28" s="1"/>
  <c r="H68" i="28" s="1"/>
  <c r="O60" i="28"/>
  <c r="O66" i="28" s="1"/>
  <c r="O67" i="28" s="1"/>
  <c r="O68" i="28" s="1"/>
  <c r="K60" i="28"/>
  <c r="K66" i="28" s="1"/>
  <c r="K67" i="28" s="1"/>
  <c r="K68" i="28" s="1"/>
  <c r="G60" i="28"/>
  <c r="G66" i="28" s="1"/>
  <c r="G67" i="28" s="1"/>
  <c r="G68" i="28" s="1"/>
  <c r="O61" i="27"/>
  <c r="K61" i="27"/>
  <c r="G61" i="27"/>
  <c r="P61" i="27"/>
  <c r="N61" i="27"/>
  <c r="J61" i="27"/>
  <c r="M61" i="27"/>
  <c r="I61" i="27"/>
  <c r="I67" i="27" s="1"/>
  <c r="H61" i="27"/>
  <c r="H67" i="27" s="1"/>
  <c r="O59" i="27"/>
  <c r="K59" i="27"/>
  <c r="G59" i="27"/>
  <c r="P59" i="27"/>
  <c r="H59" i="27"/>
  <c r="N59" i="27"/>
  <c r="J59" i="27"/>
  <c r="L59" i="27"/>
  <c r="M59" i="27"/>
  <c r="I59" i="27"/>
  <c r="B67" i="27"/>
  <c r="E48" i="27"/>
  <c r="D61" i="27"/>
  <c r="L61" i="27" s="1"/>
  <c r="N60" i="26"/>
  <c r="N66" i="26" s="1"/>
  <c r="N67" i="26" s="1"/>
  <c r="N68" i="26" s="1"/>
  <c r="J60" i="26"/>
  <c r="J66" i="26" s="1"/>
  <c r="J67" i="26" s="1"/>
  <c r="J68" i="26" s="1"/>
  <c r="M60" i="26"/>
  <c r="M66" i="26" s="1"/>
  <c r="M67" i="26" s="1"/>
  <c r="M68" i="26" s="1"/>
  <c r="I60" i="26"/>
  <c r="I66" i="26" s="1"/>
  <c r="I67" i="26" s="1"/>
  <c r="I68" i="26" s="1"/>
  <c r="H60" i="26"/>
  <c r="H66" i="26" s="1"/>
  <c r="H67" i="26" s="1"/>
  <c r="H68" i="26" s="1"/>
  <c r="O60" i="26"/>
  <c r="O66" i="26" s="1"/>
  <c r="O67" i="26" s="1"/>
  <c r="O68" i="26" s="1"/>
  <c r="G60" i="26"/>
  <c r="G66" i="26" s="1"/>
  <c r="G67" i="26" s="1"/>
  <c r="G68" i="26" s="1"/>
  <c r="K60" i="26"/>
  <c r="K66" i="26" s="1"/>
  <c r="K67" i="26" s="1"/>
  <c r="K68" i="26" s="1"/>
  <c r="D60" i="26"/>
  <c r="L60" i="26" s="1"/>
  <c r="L66" i="26" s="1"/>
  <c r="L67" i="26" s="1"/>
  <c r="L68" i="26" s="1"/>
  <c r="E47" i="26"/>
  <c r="O67" i="25"/>
  <c r="O61" i="25"/>
  <c r="K61" i="25"/>
  <c r="K67" i="25" s="1"/>
  <c r="G61" i="25"/>
  <c r="G67" i="25" s="1"/>
  <c r="H61" i="25"/>
  <c r="H67" i="25" s="1"/>
  <c r="N61" i="25"/>
  <c r="N67" i="25" s="1"/>
  <c r="J61" i="25"/>
  <c r="J67" i="25" s="1"/>
  <c r="P61" i="25"/>
  <c r="P67" i="25" s="1"/>
  <c r="M61" i="25"/>
  <c r="M67" i="25" s="1"/>
  <c r="I61" i="25"/>
  <c r="I67" i="25" s="1"/>
  <c r="B67" i="25"/>
  <c r="E48" i="25"/>
  <c r="D61" i="25"/>
  <c r="L61" i="25" s="1"/>
  <c r="L67" i="25" s="1"/>
  <c r="J67" i="24"/>
  <c r="J68" i="24" s="1"/>
  <c r="G66" i="24"/>
  <c r="G67" i="24" s="1"/>
  <c r="G68" i="24" s="1"/>
  <c r="N66" i="24"/>
  <c r="N67" i="24" s="1"/>
  <c r="N68" i="24" s="1"/>
  <c r="K66" i="24"/>
  <c r="K67" i="24" s="1"/>
  <c r="K68" i="24" s="1"/>
  <c r="D60" i="24"/>
  <c r="L60" i="24" s="1"/>
  <c r="L66" i="24" s="1"/>
  <c r="L67" i="24" s="1"/>
  <c r="L68" i="24" s="1"/>
  <c r="E47" i="24"/>
  <c r="O66" i="24"/>
  <c r="O67" i="24" s="1"/>
  <c r="O68" i="24" s="1"/>
  <c r="I66" i="24"/>
  <c r="I67" i="24" s="1"/>
  <c r="I68" i="24" s="1"/>
  <c r="H66" i="24"/>
  <c r="H67" i="24" s="1"/>
  <c r="H68" i="24" s="1"/>
  <c r="M66" i="24"/>
  <c r="M67" i="24" s="1"/>
  <c r="M68" i="24" s="1"/>
  <c r="D61" i="23"/>
  <c r="L61" i="23" s="1"/>
  <c r="L67" i="23" s="1"/>
  <c r="L68" i="23" s="1"/>
  <c r="L69" i="23" s="1"/>
  <c r="E48" i="23"/>
  <c r="N61" i="23"/>
  <c r="N67" i="23" s="1"/>
  <c r="N68" i="23" s="1"/>
  <c r="N69" i="23" s="1"/>
  <c r="J61" i="23"/>
  <c r="J67" i="23" s="1"/>
  <c r="J68" i="23" s="1"/>
  <c r="J69" i="23" s="1"/>
  <c r="K61" i="23"/>
  <c r="K67" i="23" s="1"/>
  <c r="K68" i="23" s="1"/>
  <c r="K69" i="23" s="1"/>
  <c r="M61" i="23"/>
  <c r="M67" i="23" s="1"/>
  <c r="M68" i="23" s="1"/>
  <c r="M69" i="23" s="1"/>
  <c r="I61" i="23"/>
  <c r="I67" i="23" s="1"/>
  <c r="I68" i="23" s="1"/>
  <c r="I69" i="23" s="1"/>
  <c r="P61" i="23"/>
  <c r="H61" i="23"/>
  <c r="H67" i="23" s="1"/>
  <c r="H68" i="23" s="1"/>
  <c r="H69" i="23" s="1"/>
  <c r="O61" i="23"/>
  <c r="O67" i="23" s="1"/>
  <c r="O68" i="23" s="1"/>
  <c r="O69" i="23" s="1"/>
  <c r="G61" i="23"/>
  <c r="G67" i="23" s="1"/>
  <c r="G68" i="23" s="1"/>
  <c r="G69" i="23" s="1"/>
  <c r="P67" i="23"/>
  <c r="P68" i="23" s="1"/>
  <c r="P69" i="23" s="1"/>
  <c r="L67" i="27" l="1"/>
  <c r="L68" i="27" s="1"/>
  <c r="L69" i="27" s="1"/>
  <c r="J67" i="27"/>
  <c r="K67" i="27"/>
  <c r="H68" i="27"/>
  <c r="H69" i="27" s="1"/>
  <c r="N67" i="27"/>
  <c r="O67" i="27"/>
  <c r="P67" i="27"/>
  <c r="M67" i="27"/>
  <c r="M68" i="27" s="1"/>
  <c r="M69" i="27" s="1"/>
  <c r="G67" i="27"/>
  <c r="N68" i="27"/>
  <c r="N69" i="27" s="1"/>
  <c r="P68" i="27"/>
  <c r="P69" i="27" s="1"/>
  <c r="O68" i="27"/>
  <c r="O69" i="27" s="1"/>
  <c r="G68" i="27"/>
  <c r="G69" i="27" s="1"/>
  <c r="I68" i="27"/>
  <c r="I69" i="27" s="1"/>
  <c r="J68" i="27"/>
  <c r="J69" i="27" s="1"/>
  <c r="K68" i="27"/>
  <c r="K69" i="27" s="1"/>
  <c r="O69" i="28"/>
  <c r="B67" i="28" s="1"/>
  <c r="B68" i="28" s="1"/>
  <c r="K68" i="25"/>
  <c r="K69" i="25" s="1"/>
  <c r="I68" i="25"/>
  <c r="I69" i="25" s="1"/>
  <c r="N68" i="25"/>
  <c r="N69" i="25" s="1"/>
  <c r="L68" i="25"/>
  <c r="L69" i="25" s="1"/>
  <c r="H68" i="25"/>
  <c r="H69" i="25" s="1"/>
  <c r="P68" i="25"/>
  <c r="P69" i="25" s="1"/>
  <c r="G68" i="25"/>
  <c r="G69" i="25" s="1"/>
  <c r="K70" i="26"/>
  <c r="O69" i="26"/>
  <c r="B67" i="26" s="1"/>
  <c r="B68" i="26" s="1"/>
  <c r="B69" i="26" s="1"/>
  <c r="J68" i="25"/>
  <c r="J69" i="25" s="1"/>
  <c r="M68" i="25"/>
  <c r="M69" i="25" s="1"/>
  <c r="O68" i="25"/>
  <c r="O69" i="25" s="1"/>
  <c r="O69" i="24"/>
  <c r="I70" i="24" s="1"/>
  <c r="P70" i="23"/>
  <c r="B68" i="23" s="1"/>
  <c r="B69" i="23" s="1"/>
  <c r="B69" i="28" l="1"/>
  <c r="C71" i="27"/>
  <c r="M70" i="28"/>
  <c r="P70" i="27"/>
  <c r="B68" i="27" s="1"/>
  <c r="B69" i="27" s="1"/>
  <c r="O71" i="27"/>
  <c r="H71" i="27"/>
  <c r="K71" i="27"/>
  <c r="N70" i="28"/>
  <c r="K70" i="28"/>
  <c r="L70" i="28"/>
  <c r="J70" i="28"/>
  <c r="O70" i="28"/>
  <c r="H70" i="28"/>
  <c r="G70" i="28"/>
  <c r="I70" i="28"/>
  <c r="I71" i="27"/>
  <c r="J71" i="27"/>
  <c r="M71" i="27"/>
  <c r="N71" i="27"/>
  <c r="L71" i="27"/>
  <c r="P71" i="27"/>
  <c r="I70" i="26"/>
  <c r="H70" i="26"/>
  <c r="O70" i="26"/>
  <c r="M70" i="26"/>
  <c r="L70" i="26"/>
  <c r="N70" i="26"/>
  <c r="G70" i="26"/>
  <c r="J70" i="26"/>
  <c r="P70" i="25"/>
  <c r="O70" i="24"/>
  <c r="H70" i="24"/>
  <c r="K70" i="24"/>
  <c r="L71" i="23"/>
  <c r="O71" i="23"/>
  <c r="K71" i="23"/>
  <c r="N71" i="23"/>
  <c r="G71" i="23"/>
  <c r="I71" i="23"/>
  <c r="M71" i="23"/>
  <c r="P71" i="23"/>
  <c r="J71" i="23"/>
  <c r="B67" i="24"/>
  <c r="B68" i="24" s="1"/>
  <c r="B69" i="24" s="1"/>
  <c r="N70" i="24"/>
  <c r="G70" i="24"/>
  <c r="J70" i="24"/>
  <c r="M70" i="24"/>
  <c r="L70" i="24"/>
  <c r="B70" i="23"/>
  <c r="H71" i="23"/>
  <c r="G71" i="27" l="1"/>
  <c r="C71" i="23"/>
  <c r="P72" i="27"/>
  <c r="B70" i="27"/>
  <c r="O71" i="28"/>
  <c r="O71" i="26"/>
  <c r="B68" i="25"/>
  <c r="B69" i="25" s="1"/>
  <c r="C71" i="25" s="1"/>
  <c r="I71" i="25"/>
  <c r="L71" i="25"/>
  <c r="G71" i="25"/>
  <c r="K71" i="25"/>
  <c r="H71" i="25"/>
  <c r="N71" i="25"/>
  <c r="P71" i="25"/>
  <c r="J71" i="25"/>
  <c r="O71" i="25"/>
  <c r="M71" i="25"/>
  <c r="P72" i="23"/>
  <c r="O71" i="24"/>
  <c r="P72" i="25" l="1"/>
  <c r="B70" i="25"/>
  <c r="G63" i="22" l="1"/>
  <c r="B63" i="22"/>
  <c r="M63" i="22" s="1"/>
  <c r="B62" i="22"/>
  <c r="I62" i="22" s="1"/>
  <c r="H61" i="22"/>
  <c r="B61" i="22"/>
  <c r="O61" i="22" s="1"/>
  <c r="F50" i="22"/>
  <c r="D50" i="22" s="1"/>
  <c r="D63" i="22" s="1"/>
  <c r="O63" i="22" s="1"/>
  <c r="F49" i="22"/>
  <c r="D49" i="22" s="1"/>
  <c r="D62" i="22" s="1"/>
  <c r="F48" i="22"/>
  <c r="D48" i="22" s="1"/>
  <c r="D61" i="22" s="1"/>
  <c r="I46" i="22"/>
  <c r="F46" i="22"/>
  <c r="B46" i="22"/>
  <c r="B59" i="22" s="1"/>
  <c r="F45" i="22"/>
  <c r="D45" i="22" s="1"/>
  <c r="D58" i="22" s="1"/>
  <c r="F44" i="22"/>
  <c r="D44" i="22" s="1"/>
  <c r="D57" i="22" s="1"/>
  <c r="B44" i="22"/>
  <c r="B57" i="22" s="1"/>
  <c r="I43" i="22"/>
  <c r="F43" i="22"/>
  <c r="B43" i="22"/>
  <c r="B56" i="22" s="1"/>
  <c r="I42" i="22"/>
  <c r="F42" i="22"/>
  <c r="D42" i="22"/>
  <c r="D55" i="22" s="1"/>
  <c r="B42" i="22"/>
  <c r="B55" i="22" s="1"/>
  <c r="O26" i="22"/>
  <c r="B34" i="22" s="1"/>
  <c r="B47" i="22" s="1"/>
  <c r="B25" i="22"/>
  <c r="B45" i="22" s="1"/>
  <c r="B58" i="22" s="1"/>
  <c r="O65" i="21"/>
  <c r="K65" i="21"/>
  <c r="J65" i="21"/>
  <c r="G65" i="21"/>
  <c r="B65" i="21"/>
  <c r="M65" i="21" s="1"/>
  <c r="J64" i="21"/>
  <c r="B64" i="21"/>
  <c r="M64" i="21" s="1"/>
  <c r="K63" i="21"/>
  <c r="G63" i="21"/>
  <c r="B63" i="21"/>
  <c r="M63" i="21" s="1"/>
  <c r="O62" i="21"/>
  <c r="K62" i="21"/>
  <c r="J62" i="21"/>
  <c r="G62" i="21"/>
  <c r="B62" i="21"/>
  <c r="N62" i="21" s="1"/>
  <c r="F52" i="21"/>
  <c r="D52" i="21" s="1"/>
  <c r="D65" i="21" s="1"/>
  <c r="F51" i="21"/>
  <c r="D51" i="21" s="1"/>
  <c r="D64" i="21" s="1"/>
  <c r="O64" i="21" s="1"/>
  <c r="F50" i="21"/>
  <c r="D50" i="21" s="1"/>
  <c r="D63" i="21" s="1"/>
  <c r="F49" i="21"/>
  <c r="D49" i="21" s="1"/>
  <c r="D62" i="21" s="1"/>
  <c r="I47" i="21"/>
  <c r="F47" i="21"/>
  <c r="D47" i="21" s="1"/>
  <c r="B47" i="21"/>
  <c r="B60" i="21" s="1"/>
  <c r="F46" i="21"/>
  <c r="D46" i="21" s="1"/>
  <c r="F45" i="21"/>
  <c r="D45" i="21" s="1"/>
  <c r="D58" i="21" s="1"/>
  <c r="B45" i="21"/>
  <c r="B58" i="21" s="1"/>
  <c r="I44" i="21"/>
  <c r="F44" i="21"/>
  <c r="D44" i="21" s="1"/>
  <c r="B44" i="21"/>
  <c r="B57" i="21" s="1"/>
  <c r="I43" i="21"/>
  <c r="F43" i="21"/>
  <c r="B43" i="21"/>
  <c r="B56" i="21" s="1"/>
  <c r="O27" i="21"/>
  <c r="B35" i="21" s="1"/>
  <c r="B48" i="21" s="1"/>
  <c r="B26" i="21"/>
  <c r="B46" i="21" s="1"/>
  <c r="B59" i="21" s="1"/>
  <c r="O63" i="21" l="1"/>
  <c r="K64" i="21"/>
  <c r="D43" i="22"/>
  <c r="L61" i="22"/>
  <c r="J63" i="22"/>
  <c r="D46" i="22"/>
  <c r="K63" i="22"/>
  <c r="N64" i="21"/>
  <c r="D43" i="21"/>
  <c r="D56" i="21" s="1"/>
  <c r="N63" i="21"/>
  <c r="J63" i="21"/>
  <c r="G64" i="21"/>
  <c r="N65" i="21"/>
  <c r="N63" i="22"/>
  <c r="F47" i="22"/>
  <c r="D47" i="22" s="1"/>
  <c r="B60" i="22"/>
  <c r="N55" i="22"/>
  <c r="M55" i="22"/>
  <c r="I55" i="22"/>
  <c r="O55" i="22"/>
  <c r="G55" i="22"/>
  <c r="J55" i="22"/>
  <c r="L55" i="22"/>
  <c r="H55" i="22"/>
  <c r="K55" i="22"/>
  <c r="O56" i="22"/>
  <c r="N56" i="22"/>
  <c r="J56" i="22"/>
  <c r="L56" i="22"/>
  <c r="K56" i="22"/>
  <c r="G56" i="22"/>
  <c r="M56" i="22"/>
  <c r="I56" i="22"/>
  <c r="N59" i="22"/>
  <c r="M59" i="22"/>
  <c r="I59" i="22"/>
  <c r="J59" i="22"/>
  <c r="B66" i="22"/>
  <c r="L59" i="22"/>
  <c r="H59" i="22"/>
  <c r="O59" i="22"/>
  <c r="G59" i="22"/>
  <c r="D56" i="22"/>
  <c r="H56" i="22" s="1"/>
  <c r="E43" i="22"/>
  <c r="M58" i="22"/>
  <c r="L58" i="22"/>
  <c r="H58" i="22"/>
  <c r="N58" i="22"/>
  <c r="I58" i="22"/>
  <c r="O58" i="22"/>
  <c r="K58" i="22"/>
  <c r="G58" i="22"/>
  <c r="J58" i="22"/>
  <c r="O57" i="22"/>
  <c r="K57" i="22"/>
  <c r="G57" i="22"/>
  <c r="I57" i="22"/>
  <c r="L57" i="22"/>
  <c r="H57" i="22"/>
  <c r="N57" i="22"/>
  <c r="J57" i="22"/>
  <c r="M57" i="22"/>
  <c r="D59" i="22"/>
  <c r="K59" i="22" s="1"/>
  <c r="E46" i="22"/>
  <c r="I61" i="22"/>
  <c r="J62" i="22"/>
  <c r="E45" i="22"/>
  <c r="J61" i="22"/>
  <c r="N61" i="22"/>
  <c r="G62" i="22"/>
  <c r="K62" i="22"/>
  <c r="O62" i="22"/>
  <c r="H63" i="22"/>
  <c r="L63" i="22"/>
  <c r="M62" i="22"/>
  <c r="M61" i="22"/>
  <c r="N62" i="22"/>
  <c r="G61" i="22"/>
  <c r="K61" i="22"/>
  <c r="H62" i="22"/>
  <c r="L62" i="22"/>
  <c r="I63" i="22"/>
  <c r="N57" i="21"/>
  <c r="J57" i="21"/>
  <c r="G57" i="21"/>
  <c r="M57" i="21"/>
  <c r="I57" i="21"/>
  <c r="O57" i="21"/>
  <c r="P57" i="21"/>
  <c r="L57" i="21"/>
  <c r="K57" i="21"/>
  <c r="N56" i="21"/>
  <c r="J56" i="21"/>
  <c r="G56" i="21"/>
  <c r="M56" i="21"/>
  <c r="I56" i="21"/>
  <c r="O56" i="21"/>
  <c r="P56" i="21"/>
  <c r="L56" i="21"/>
  <c r="H56" i="21"/>
  <c r="K56" i="21"/>
  <c r="N60" i="21"/>
  <c r="J60" i="21"/>
  <c r="M60" i="21"/>
  <c r="I60" i="21"/>
  <c r="P60" i="21"/>
  <c r="L60" i="21"/>
  <c r="H60" i="21"/>
  <c r="O60" i="21"/>
  <c r="G60" i="21"/>
  <c r="D57" i="21"/>
  <c r="H57" i="21" s="1"/>
  <c r="E44" i="21"/>
  <c r="D59" i="21"/>
  <c r="J59" i="21" s="1"/>
  <c r="E46" i="21"/>
  <c r="N59" i="21"/>
  <c r="K59" i="21"/>
  <c r="M59" i="21"/>
  <c r="I59" i="21"/>
  <c r="O59" i="21"/>
  <c r="P59" i="21"/>
  <c r="L59" i="21"/>
  <c r="H59" i="21"/>
  <c r="G59" i="21"/>
  <c r="N58" i="21"/>
  <c r="J58" i="21"/>
  <c r="K58" i="21"/>
  <c r="M58" i="21"/>
  <c r="I58" i="21"/>
  <c r="O58" i="21"/>
  <c r="P58" i="21"/>
  <c r="L58" i="21"/>
  <c r="H58" i="21"/>
  <c r="G58" i="21"/>
  <c r="D60" i="21"/>
  <c r="K60" i="21" s="1"/>
  <c r="E47" i="21"/>
  <c r="M62" i="21"/>
  <c r="B61" i="21"/>
  <c r="B67" i="21" s="1"/>
  <c r="F48" i="21"/>
  <c r="D48" i="21" s="1"/>
  <c r="H62" i="21"/>
  <c r="L62" i="21"/>
  <c r="P62" i="21"/>
  <c r="H63" i="21"/>
  <c r="L63" i="21"/>
  <c r="P63" i="21"/>
  <c r="H64" i="21"/>
  <c r="L64" i="21"/>
  <c r="P64" i="21"/>
  <c r="H65" i="21"/>
  <c r="L65" i="21"/>
  <c r="P65" i="21"/>
  <c r="I62" i="21"/>
  <c r="I63" i="21"/>
  <c r="I64" i="21"/>
  <c r="I65" i="21"/>
  <c r="B44" i="6"/>
  <c r="B45" i="5"/>
  <c r="K60" i="22" l="1"/>
  <c r="K66" i="22" s="1"/>
  <c r="K67" i="22" s="1"/>
  <c r="K68" i="22" s="1"/>
  <c r="N60" i="22"/>
  <c r="N66" i="22" s="1"/>
  <c r="N67" i="22" s="1"/>
  <c r="N68" i="22" s="1"/>
  <c r="J60" i="22"/>
  <c r="J66" i="22" s="1"/>
  <c r="J67" i="22" s="1"/>
  <c r="J68" i="22" s="1"/>
  <c r="H60" i="22"/>
  <c r="H66" i="22" s="1"/>
  <c r="H67" i="22" s="1"/>
  <c r="H68" i="22" s="1"/>
  <c r="O60" i="22"/>
  <c r="O66" i="22" s="1"/>
  <c r="O67" i="22" s="1"/>
  <c r="O68" i="22" s="1"/>
  <c r="G60" i="22"/>
  <c r="G66" i="22" s="1"/>
  <c r="G67" i="22" s="1"/>
  <c r="G68" i="22" s="1"/>
  <c r="M60" i="22"/>
  <c r="M66" i="22" s="1"/>
  <c r="M67" i="22" s="1"/>
  <c r="M68" i="22" s="1"/>
  <c r="I60" i="22"/>
  <c r="I66" i="22" s="1"/>
  <c r="I67" i="22" s="1"/>
  <c r="I68" i="22" s="1"/>
  <c r="D60" i="22"/>
  <c r="L60" i="22" s="1"/>
  <c r="L66" i="22" s="1"/>
  <c r="L67" i="22" s="1"/>
  <c r="L68" i="22" s="1"/>
  <c r="E47" i="22"/>
  <c r="N61" i="21"/>
  <c r="N67" i="21" s="1"/>
  <c r="N68" i="21" s="1"/>
  <c r="N69" i="21" s="1"/>
  <c r="J61" i="21"/>
  <c r="J67" i="21" s="1"/>
  <c r="J68" i="21" s="1"/>
  <c r="J69" i="21" s="1"/>
  <c r="G61" i="21"/>
  <c r="G67" i="21" s="1"/>
  <c r="G68" i="21" s="1"/>
  <c r="G69" i="21" s="1"/>
  <c r="M61" i="21"/>
  <c r="I61" i="21"/>
  <c r="I67" i="21" s="1"/>
  <c r="I68" i="21" s="1"/>
  <c r="I69" i="21" s="1"/>
  <c r="K61" i="21"/>
  <c r="K67" i="21" s="1"/>
  <c r="K68" i="21" s="1"/>
  <c r="K69" i="21" s="1"/>
  <c r="P61" i="21"/>
  <c r="P67" i="21" s="1"/>
  <c r="P68" i="21" s="1"/>
  <c r="P69" i="21" s="1"/>
  <c r="H61" i="21"/>
  <c r="O61" i="21"/>
  <c r="O67" i="21" s="1"/>
  <c r="O68" i="21" s="1"/>
  <c r="O69" i="21" s="1"/>
  <c r="D61" i="21"/>
  <c r="L61" i="21" s="1"/>
  <c r="L67" i="21" s="1"/>
  <c r="L68" i="21" s="1"/>
  <c r="L69" i="21" s="1"/>
  <c r="E48" i="21"/>
  <c r="H67" i="21"/>
  <c r="H68" i="21" s="1"/>
  <c r="H69" i="21" s="1"/>
  <c r="M67" i="21"/>
  <c r="M68" i="21" s="1"/>
  <c r="M69" i="21" s="1"/>
  <c r="B17" i="20"/>
  <c r="B17" i="18"/>
  <c r="B20" i="18" s="1"/>
  <c r="H21" i="18" s="1"/>
  <c r="B10" i="18"/>
  <c r="I12" i="18" s="1"/>
  <c r="B10" i="20"/>
  <c r="I10" i="20" s="1"/>
  <c r="F50" i="6"/>
  <c r="F51" i="5"/>
  <c r="F50" i="5"/>
  <c r="F49" i="5"/>
  <c r="B20" i="20" l="1"/>
  <c r="H21" i="20" s="1"/>
  <c r="O69" i="22"/>
  <c r="B67" i="22" s="1"/>
  <c r="B68" i="22" s="1"/>
  <c r="P70" i="21"/>
  <c r="B68" i="21" s="1"/>
  <c r="B69" i="21" s="1"/>
  <c r="C71" i="21" s="1"/>
  <c r="D49" i="5"/>
  <c r="D50" i="5"/>
  <c r="B25" i="6"/>
  <c r="H71" i="21" l="1"/>
  <c r="O71" i="21"/>
  <c r="B69" i="22"/>
  <c r="M70" i="22"/>
  <c r="G70" i="22"/>
  <c r="I70" i="22"/>
  <c r="H70" i="22"/>
  <c r="L70" i="22"/>
  <c r="K70" i="22"/>
  <c r="J70" i="22"/>
  <c r="O70" i="22"/>
  <c r="N70" i="22"/>
  <c r="B70" i="21"/>
  <c r="P71" i="21"/>
  <c r="J71" i="21"/>
  <c r="G71" i="21"/>
  <c r="M71" i="21"/>
  <c r="K71" i="21"/>
  <c r="I71" i="21"/>
  <c r="N71" i="21"/>
  <c r="L71" i="21"/>
  <c r="O27" i="5"/>
  <c r="O71" i="22" l="1"/>
  <c r="P72" i="21"/>
  <c r="B63" i="6"/>
  <c r="K63" i="6" s="1"/>
  <c r="B62" i="6"/>
  <c r="O62" i="6" s="1"/>
  <c r="B61" i="6"/>
  <c r="O61" i="6" s="1"/>
  <c r="B57" i="6"/>
  <c r="K57" i="6" s="1"/>
  <c r="F46" i="6"/>
  <c r="B46" i="6"/>
  <c r="B59" i="6" s="1"/>
  <c r="F45" i="6"/>
  <c r="D45" i="6" s="1"/>
  <c r="F44" i="6"/>
  <c r="D44" i="6"/>
  <c r="F43" i="6"/>
  <c r="B43" i="6"/>
  <c r="B56" i="6" s="1"/>
  <c r="J56" i="6" s="1"/>
  <c r="F42" i="6"/>
  <c r="B42" i="6"/>
  <c r="B55" i="6" s="1"/>
  <c r="B45" i="6"/>
  <c r="B58" i="6" s="1"/>
  <c r="H58" i="6" s="1"/>
  <c r="O26" i="6"/>
  <c r="D50" i="6"/>
  <c r="D63" i="6" s="1"/>
  <c r="F49" i="6"/>
  <c r="D49" i="6" s="1"/>
  <c r="D62" i="6" s="1"/>
  <c r="F48" i="6"/>
  <c r="D48" i="6" s="1"/>
  <c r="D61" i="6" s="1"/>
  <c r="I46" i="6"/>
  <c r="I42" i="6"/>
  <c r="D42" i="6" s="1"/>
  <c r="D55" i="6" s="1"/>
  <c r="I43" i="6"/>
  <c r="L65" i="5"/>
  <c r="B65" i="5"/>
  <c r="O65" i="5" s="1"/>
  <c r="B64" i="5"/>
  <c r="J64" i="5" s="1"/>
  <c r="B63" i="5"/>
  <c r="O63" i="5" s="1"/>
  <c r="B62" i="5"/>
  <c r="O62" i="5" s="1"/>
  <c r="B58" i="5"/>
  <c r="O58" i="5" s="1"/>
  <c r="F52" i="5"/>
  <c r="F47" i="5"/>
  <c r="B47" i="5"/>
  <c r="B60" i="5" s="1"/>
  <c r="F46" i="5"/>
  <c r="F45" i="5"/>
  <c r="D45" i="5" s="1"/>
  <c r="D58" i="5" s="1"/>
  <c r="F44" i="5"/>
  <c r="B44" i="5"/>
  <c r="B57" i="5" s="1"/>
  <c r="F43" i="5"/>
  <c r="B43" i="5"/>
  <c r="B56" i="5" s="1"/>
  <c r="B26" i="5"/>
  <c r="B46" i="5" s="1"/>
  <c r="B59" i="5" s="1"/>
  <c r="B35" i="5"/>
  <c r="B48" i="5" s="1"/>
  <c r="D63" i="5"/>
  <c r="D62" i="5"/>
  <c r="I47" i="5"/>
  <c r="I43" i="5"/>
  <c r="I44" i="5"/>
  <c r="N62" i="6" l="1"/>
  <c r="D47" i="5"/>
  <c r="J62" i="5"/>
  <c r="L64" i="5"/>
  <c r="N63" i="5"/>
  <c r="D43" i="5"/>
  <c r="L62" i="5"/>
  <c r="E45" i="6"/>
  <c r="D46" i="5"/>
  <c r="D59" i="5" s="1"/>
  <c r="J59" i="5" s="1"/>
  <c r="H65" i="5"/>
  <c r="L58" i="6"/>
  <c r="D52" i="5"/>
  <c r="D65" i="5" s="1"/>
  <c r="P65" i="5" s="1"/>
  <c r="D43" i="6"/>
  <c r="E43" i="6" s="1"/>
  <c r="D56" i="5"/>
  <c r="G56" i="5" s="1"/>
  <c r="D44" i="5"/>
  <c r="J65" i="5"/>
  <c r="B34" i="6"/>
  <c r="B47" i="6" s="1"/>
  <c r="O57" i="6"/>
  <c r="D51" i="5"/>
  <c r="D64" i="5" s="1"/>
  <c r="O64" i="5" s="1"/>
  <c r="N56" i="6"/>
  <c r="J58" i="5"/>
  <c r="N62" i="5"/>
  <c r="J63" i="5"/>
  <c r="H64" i="5"/>
  <c r="P64" i="5"/>
  <c r="N58" i="5"/>
  <c r="P63" i="5"/>
  <c r="H58" i="5"/>
  <c r="P58" i="5"/>
  <c r="H63" i="5"/>
  <c r="N64" i="5"/>
  <c r="O63" i="6"/>
  <c r="G61" i="6"/>
  <c r="H62" i="6"/>
  <c r="G63" i="6"/>
  <c r="G57" i="6"/>
  <c r="K61" i="6"/>
  <c r="J62" i="6"/>
  <c r="L58" i="5"/>
  <c r="H62" i="5"/>
  <c r="P62" i="5"/>
  <c r="L63" i="5"/>
  <c r="N65" i="5"/>
  <c r="L62" i="6"/>
  <c r="D46" i="6"/>
  <c r="D59" i="6" s="1"/>
  <c r="K59" i="6" s="1"/>
  <c r="D57" i="6"/>
  <c r="N55" i="6"/>
  <c r="L55" i="6"/>
  <c r="J55" i="6"/>
  <c r="H55" i="6"/>
  <c r="I55" i="6"/>
  <c r="M55" i="6"/>
  <c r="N59" i="6"/>
  <c r="L59" i="6"/>
  <c r="J59" i="6"/>
  <c r="H59" i="6"/>
  <c r="I59" i="6"/>
  <c r="M59" i="6"/>
  <c r="O58" i="6"/>
  <c r="M58" i="6"/>
  <c r="K58" i="6"/>
  <c r="I58" i="6"/>
  <c r="G58" i="6"/>
  <c r="O56" i="6"/>
  <c r="M56" i="6"/>
  <c r="K56" i="6"/>
  <c r="I56" i="6"/>
  <c r="G56" i="6"/>
  <c r="G55" i="6"/>
  <c r="K55" i="6"/>
  <c r="O55" i="6"/>
  <c r="L56" i="6"/>
  <c r="N57" i="6"/>
  <c r="L57" i="6"/>
  <c r="J57" i="6"/>
  <c r="H57" i="6"/>
  <c r="I57" i="6"/>
  <c r="M57" i="6"/>
  <c r="D58" i="6"/>
  <c r="J58" i="6" s="1"/>
  <c r="N58" i="6"/>
  <c r="G59" i="6"/>
  <c r="O59" i="6"/>
  <c r="N61" i="6"/>
  <c r="L61" i="6"/>
  <c r="J61" i="6"/>
  <c r="H61" i="6"/>
  <c r="I61" i="6"/>
  <c r="M61" i="6"/>
  <c r="N63" i="6"/>
  <c r="L63" i="6"/>
  <c r="J63" i="6"/>
  <c r="H63" i="6"/>
  <c r="I63" i="6"/>
  <c r="M63" i="6"/>
  <c r="G62" i="6"/>
  <c r="I62" i="6"/>
  <c r="K62" i="6"/>
  <c r="M62" i="6"/>
  <c r="F48" i="5"/>
  <c r="D48" i="5" s="1"/>
  <c r="B61" i="5"/>
  <c r="B67" i="5" s="1"/>
  <c r="D57" i="5"/>
  <c r="H57" i="5" s="1"/>
  <c r="E44" i="5"/>
  <c r="D60" i="5"/>
  <c r="K60" i="5" s="1"/>
  <c r="E47" i="5"/>
  <c r="P59" i="5"/>
  <c r="N59" i="5"/>
  <c r="L59" i="5"/>
  <c r="H59" i="5"/>
  <c r="O59" i="5"/>
  <c r="M59" i="5"/>
  <c r="K59" i="5"/>
  <c r="I59" i="5"/>
  <c r="G59" i="5"/>
  <c r="P56" i="5"/>
  <c r="N56" i="5"/>
  <c r="L56" i="5"/>
  <c r="J56" i="5"/>
  <c r="H56" i="5"/>
  <c r="O56" i="5"/>
  <c r="M56" i="5"/>
  <c r="K56" i="5"/>
  <c r="I56" i="5"/>
  <c r="P57" i="5"/>
  <c r="N57" i="5"/>
  <c r="L57" i="5"/>
  <c r="J57" i="5"/>
  <c r="O57" i="5"/>
  <c r="M57" i="5"/>
  <c r="K57" i="5"/>
  <c r="I57" i="5"/>
  <c r="G57" i="5"/>
  <c r="E46" i="5"/>
  <c r="P60" i="5"/>
  <c r="N60" i="5"/>
  <c r="L60" i="5"/>
  <c r="J60" i="5"/>
  <c r="H60" i="5"/>
  <c r="O60" i="5"/>
  <c r="M60" i="5"/>
  <c r="I60" i="5"/>
  <c r="G60" i="5"/>
  <c r="G58" i="5"/>
  <c r="I58" i="5"/>
  <c r="K58" i="5"/>
  <c r="M58" i="5"/>
  <c r="G62" i="5"/>
  <c r="I62" i="5"/>
  <c r="K62" i="5"/>
  <c r="M62" i="5"/>
  <c r="G63" i="5"/>
  <c r="I63" i="5"/>
  <c r="K63" i="5"/>
  <c r="M63" i="5"/>
  <c r="G64" i="5"/>
  <c r="I64" i="5"/>
  <c r="K64" i="5"/>
  <c r="M64" i="5"/>
  <c r="G65" i="5"/>
  <c r="I65" i="5"/>
  <c r="K65" i="5"/>
  <c r="M65" i="5"/>
  <c r="B60" i="6" l="1"/>
  <c r="B66" i="6" s="1"/>
  <c r="F47" i="6"/>
  <c r="D47" i="6" s="1"/>
  <c r="D56" i="6"/>
  <c r="H56" i="6" s="1"/>
  <c r="E46" i="6"/>
  <c r="D60" i="6"/>
  <c r="L60" i="6" s="1"/>
  <c r="L66" i="6" s="1"/>
  <c r="L67" i="6" s="1"/>
  <c r="L68" i="6" s="1"/>
  <c r="E47" i="6"/>
  <c r="O60" i="6"/>
  <c r="O66" i="6" s="1"/>
  <c r="O67" i="6" s="1"/>
  <c r="O68" i="6" s="1"/>
  <c r="K60" i="6"/>
  <c r="K66" i="6" s="1"/>
  <c r="K67" i="6" s="1"/>
  <c r="K68" i="6" s="1"/>
  <c r="I60" i="6"/>
  <c r="I66" i="6" s="1"/>
  <c r="I67" i="6" s="1"/>
  <c r="I68" i="6" s="1"/>
  <c r="G60" i="6"/>
  <c r="G66" i="6" s="1"/>
  <c r="G67" i="6" s="1"/>
  <c r="G68" i="6" s="1"/>
  <c r="N60" i="6"/>
  <c r="N66" i="6" s="1"/>
  <c r="N67" i="6" s="1"/>
  <c r="N68" i="6" s="1"/>
  <c r="J60" i="6"/>
  <c r="J66" i="6" s="1"/>
  <c r="J67" i="6" s="1"/>
  <c r="J68" i="6" s="1"/>
  <c r="P61" i="5"/>
  <c r="P67" i="5" s="1"/>
  <c r="P68" i="5" s="1"/>
  <c r="P69" i="5" s="1"/>
  <c r="N61" i="5"/>
  <c r="N67" i="5" s="1"/>
  <c r="N68" i="5" s="1"/>
  <c r="N69" i="5" s="1"/>
  <c r="J61" i="5"/>
  <c r="J67" i="5" s="1"/>
  <c r="J68" i="5" s="1"/>
  <c r="J69" i="5" s="1"/>
  <c r="H61" i="5"/>
  <c r="H67" i="5" s="1"/>
  <c r="H68" i="5" s="1"/>
  <c r="H69" i="5" s="1"/>
  <c r="O61" i="5"/>
  <c r="O67" i="5" s="1"/>
  <c r="O68" i="5" s="1"/>
  <c r="O69" i="5" s="1"/>
  <c r="M61" i="5"/>
  <c r="M67" i="5" s="1"/>
  <c r="M68" i="5" s="1"/>
  <c r="M69" i="5" s="1"/>
  <c r="K61" i="5"/>
  <c r="K67" i="5" s="1"/>
  <c r="K68" i="5" s="1"/>
  <c r="K69" i="5" s="1"/>
  <c r="I61" i="5"/>
  <c r="I67" i="5" s="1"/>
  <c r="I68" i="5" s="1"/>
  <c r="I69" i="5" s="1"/>
  <c r="G61" i="5"/>
  <c r="G67" i="5" s="1"/>
  <c r="G68" i="5" s="1"/>
  <c r="G69" i="5" s="1"/>
  <c r="D61" i="5"/>
  <c r="L61" i="5" s="1"/>
  <c r="L67" i="5" s="1"/>
  <c r="L68" i="5" s="1"/>
  <c r="L69" i="5" s="1"/>
  <c r="E48" i="5"/>
  <c r="H60" i="6" l="1"/>
  <c r="M60" i="6"/>
  <c r="M66" i="6" s="1"/>
  <c r="M67" i="6" s="1"/>
  <c r="M68" i="6" s="1"/>
  <c r="H66" i="6"/>
  <c r="H67" i="6" s="1"/>
  <c r="H68" i="6" s="1"/>
  <c r="O69" i="6" s="1"/>
  <c r="B67" i="6" s="1"/>
  <c r="B68" i="6" s="1"/>
  <c r="P70" i="5"/>
  <c r="B68" i="5" s="1"/>
  <c r="B69" i="5" s="1"/>
  <c r="C71" i="5" l="1"/>
  <c r="I71" i="5"/>
  <c r="K71" i="5"/>
  <c r="M71" i="5"/>
  <c r="H71" i="5"/>
  <c r="J71" i="5"/>
  <c r="G71" i="5"/>
  <c r="P71" i="5"/>
  <c r="O71" i="5"/>
  <c r="O70" i="6"/>
  <c r="L71" i="5"/>
  <c r="B69" i="6"/>
  <c r="H70" i="6"/>
  <c r="M70" i="6"/>
  <c r="L70" i="6"/>
  <c r="K70" i="6"/>
  <c r="G70" i="6"/>
  <c r="J70" i="6"/>
  <c r="I70" i="6"/>
  <c r="N70" i="6"/>
  <c r="B70" i="5"/>
  <c r="N71" i="5"/>
  <c r="P72" i="5" l="1"/>
  <c r="O71" i="6"/>
</calcChain>
</file>

<file path=xl/comments1.xml><?xml version="1.0" encoding="utf-8"?>
<comments xmlns="http://schemas.openxmlformats.org/spreadsheetml/2006/main">
  <authors>
    <author>Irja Helm</author>
  </authors>
  <commentList>
    <comment ref="B11" authorId="0">
      <text>
        <r>
          <rPr>
            <sz val="9"/>
            <color indexed="81"/>
            <rFont val="Tahoma"/>
            <family val="2"/>
          </rPr>
          <t>From the data in Ref 3</t>
        </r>
      </text>
    </comment>
  </commentList>
</comments>
</file>

<file path=xl/comments2.xml><?xml version="1.0" encoding="utf-8"?>
<comments xmlns="http://schemas.openxmlformats.org/spreadsheetml/2006/main">
  <authors>
    <author>Irja Helm</author>
  </authors>
  <commentList>
    <comment ref="B11" authorId="0">
      <text>
        <r>
          <rPr>
            <sz val="9"/>
            <color indexed="81"/>
            <rFont val="Tahoma"/>
            <family val="2"/>
          </rPr>
          <t xml:space="preserve">From the data in Ref 3
</t>
        </r>
      </text>
    </comment>
  </commentList>
</comments>
</file>

<file path=xl/sharedStrings.xml><?xml version="1.0" encoding="utf-8"?>
<sst xmlns="http://schemas.openxmlformats.org/spreadsheetml/2006/main" count="2035" uniqueCount="217">
  <si>
    <t>Salinity</t>
  </si>
  <si>
    <t>Pa</t>
  </si>
  <si>
    <t>HACH</t>
  </si>
  <si>
    <t>Input quantities</t>
  </si>
  <si>
    <t>Value</t>
  </si>
  <si>
    <t>Unit</t>
  </si>
  <si>
    <t>Comment</t>
  </si>
  <si>
    <t>Calibration</t>
  </si>
  <si>
    <t>mg/L</t>
  </si>
  <si>
    <t>Sensor reading right after calibration/checking zero value</t>
  </si>
  <si>
    <t xml:space="preserve">Sensor reading right after calibration </t>
  </si>
  <si>
    <t>mS/cm</t>
  </si>
  <si>
    <t>a0</t>
  </si>
  <si>
    <r>
      <rPr>
        <sz val="10"/>
        <rFont val="Tahoma"/>
        <family val="2"/>
      </rPr>
      <t>°</t>
    </r>
    <r>
      <rPr>
        <sz val="10"/>
        <rFont val="Arial"/>
        <family val="2"/>
      </rPr>
      <t>C</t>
    </r>
  </si>
  <si>
    <t>Temperature of calibration solution measured with reference thermometer</t>
  </si>
  <si>
    <t>a1</t>
  </si>
  <si>
    <t>Air pressure at the time of calibration measured with reference barometer</t>
  </si>
  <si>
    <t>a2</t>
  </si>
  <si>
    <t>Temperature of calibration solution measured with DO-meter</t>
  </si>
  <si>
    <t>a3</t>
  </si>
  <si>
    <t>Air pressure at the time of calibration measured with DO-meter</t>
  </si>
  <si>
    <t>a4</t>
  </si>
  <si>
    <t>a5</t>
  </si>
  <si>
    <t>Measurement</t>
  </si>
  <si>
    <t>b0</t>
  </si>
  <si>
    <t>Reading of the measured sample</t>
  </si>
  <si>
    <t>b1</t>
  </si>
  <si>
    <t>k</t>
  </si>
  <si>
    <t>conductivity of the sample, used for calculating the activity coefficient</t>
  </si>
  <si>
    <t>b2</t>
  </si>
  <si>
    <t>PSU</t>
  </si>
  <si>
    <t>b3</t>
  </si>
  <si>
    <t>Sample temperature, measured with DO-meter</t>
  </si>
  <si>
    <t>b4</t>
  </si>
  <si>
    <t>b5</t>
  </si>
  <si>
    <r>
      <rPr>
        <b/>
        <sz val="10"/>
        <rFont val="Calibri"/>
        <family val="2"/>
      </rPr>
      <t>Δ</t>
    </r>
    <r>
      <rPr>
        <b/>
        <sz val="10"/>
        <rFont val="Arial"/>
        <family val="2"/>
      </rPr>
      <t>days</t>
    </r>
  </si>
  <si>
    <t>The number of days passed from the last calibration</t>
  </si>
  <si>
    <t>X</t>
  </si>
  <si>
    <t>*Rt</t>
  </si>
  <si>
    <t>Y</t>
  </si>
  <si>
    <t>Model components</t>
  </si>
  <si>
    <t>Uncertainty components</t>
  </si>
  <si>
    <t>Denotion</t>
  </si>
  <si>
    <r>
      <t>u</t>
    </r>
    <r>
      <rPr>
        <b/>
        <vertAlign val="subscript"/>
        <sz val="10"/>
        <rFont val="Arial"/>
        <family val="2"/>
      </rPr>
      <t>c</t>
    </r>
  </si>
  <si>
    <t>Relative</t>
  </si>
  <si>
    <t>u1</t>
  </si>
  <si>
    <t>u2</t>
  </si>
  <si>
    <r>
      <rPr>
        <sz val="10"/>
        <rFont val="Calibri"/>
        <family val="2"/>
      </rPr>
      <t>±</t>
    </r>
    <r>
      <rPr>
        <sz val="10"/>
        <rFont val="Arial"/>
        <family val="2"/>
      </rPr>
      <t>half of the last digit</t>
    </r>
  </si>
  <si>
    <t>estimation</t>
  </si>
  <si>
    <t>γ</t>
  </si>
  <si>
    <t>-</t>
  </si>
  <si>
    <r>
      <t>C</t>
    </r>
    <r>
      <rPr>
        <vertAlign val="subscript"/>
        <sz val="10"/>
        <rFont val="Arial"/>
        <family val="2"/>
      </rPr>
      <t>result</t>
    </r>
  </si>
  <si>
    <r>
      <t>uC</t>
    </r>
    <r>
      <rPr>
        <vertAlign val="subscript"/>
        <sz val="10"/>
        <rFont val="Arial"/>
        <family val="2"/>
      </rPr>
      <t>result</t>
    </r>
  </si>
  <si>
    <r>
      <t>UC</t>
    </r>
    <r>
      <rPr>
        <vertAlign val="subscript"/>
        <sz val="10"/>
        <rFont val="Arial"/>
        <family val="2"/>
      </rPr>
      <t>result</t>
    </r>
  </si>
  <si>
    <t>mg/L, k=2</t>
  </si>
  <si>
    <t xml:space="preserve"> </t>
  </si>
  <si>
    <t>conductivity of SSW at SP=35, t_68=15, p=0; 42.9140 mS/cm</t>
  </si>
  <si>
    <t>Pooled standard deviation of the readings at stirring rate 120 rpm</t>
  </si>
  <si>
    <t>Reproducibility: pooled standard deviation of differences between reading and reference value</t>
  </si>
  <si>
    <t>%</t>
  </si>
  <si>
    <t>Experimental data for calculating different uncertainty contributions:</t>
  </si>
  <si>
    <t>The largest pooled standard deviation of the readings</t>
  </si>
  <si>
    <t>The slope of stirring graph (% of the reading vs % of the stirring rate from calibration stirring rate)</t>
  </si>
  <si>
    <r>
      <t>%/</t>
    </r>
    <r>
      <rPr>
        <sz val="9"/>
        <rFont val="Times New Roman"/>
        <family val="1"/>
        <charset val="186"/>
      </rPr>
      <t>°</t>
    </r>
    <r>
      <rPr>
        <i/>
        <sz val="9"/>
        <rFont val="Arial"/>
        <family val="2"/>
      </rPr>
      <t>C</t>
    </r>
  </si>
  <si>
    <r>
      <t xml:space="preserve">The slope of temperature compensation graph (temperature </t>
    </r>
    <r>
      <rPr>
        <i/>
        <sz val="9"/>
        <rFont val="Tahoma"/>
        <family val="2"/>
      </rPr>
      <t>°</t>
    </r>
    <r>
      <rPr>
        <i/>
        <sz val="9"/>
        <rFont val="Arial"/>
        <family val="2"/>
      </rPr>
      <t>C vs relative difference from reference temperature in %)</t>
    </r>
  </si>
  <si>
    <t>The slope of the linearity graph starting at 11 mg/L (electrochemical reading mg/L vs readings difference mg/L)</t>
  </si>
  <si>
    <t>estimated flow rate compared to the flow rate of calibration</t>
  </si>
  <si>
    <t>repeatabilty of the reading</t>
  </si>
  <si>
    <t>Reproducibility of the reading</t>
  </si>
  <si>
    <r>
      <rPr>
        <sz val="10"/>
        <rFont val="Calibri"/>
        <family val="2"/>
      </rPr>
      <t>±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half of the activity coefficient difference from 1</t>
    </r>
  </si>
  <si>
    <r>
      <t>UC</t>
    </r>
    <r>
      <rPr>
        <vertAlign val="subscript"/>
        <sz val="10"/>
        <rFont val="Arial"/>
        <family val="2"/>
      </rPr>
      <t xml:space="preserve">result </t>
    </r>
    <r>
      <rPr>
        <sz val="10"/>
        <rFont val="Arial"/>
        <family val="2"/>
      </rPr>
      <t>rel</t>
    </r>
  </si>
  <si>
    <t>%, k=2</t>
  </si>
  <si>
    <t>Calibration environment DO concentration at oxygen-free conditions, here always 0</t>
  </si>
  <si>
    <t>Ref 5:</t>
  </si>
  <si>
    <t>factor for calculating the conductivity from 15 °C to the 25 °C is found as 1.25608904610271</t>
  </si>
  <si>
    <r>
      <t>C(KCl at 25</t>
    </r>
    <r>
      <rPr>
        <sz val="10"/>
        <rFont val="Tahoma"/>
        <family val="2"/>
      </rPr>
      <t>°</t>
    </r>
    <r>
      <rPr>
        <sz val="10"/>
        <rFont val="Arial"/>
        <family val="2"/>
      </rPr>
      <t xml:space="preserve">C) </t>
    </r>
    <r>
      <rPr>
        <vertAlign val="superscript"/>
        <sz val="10"/>
        <rFont val="Arial"/>
        <family val="2"/>
      </rPr>
      <t>*</t>
    </r>
  </si>
  <si>
    <r>
      <rPr>
        <i/>
        <vertAlign val="superscript"/>
        <sz val="10"/>
        <rFont val="Arial"/>
        <family val="2"/>
      </rPr>
      <t>*</t>
    </r>
    <r>
      <rPr>
        <i/>
        <sz val="10"/>
        <rFont val="Arial"/>
        <family val="2"/>
      </rPr>
      <t>Notes:</t>
    </r>
  </si>
  <si>
    <r>
      <rPr>
        <i/>
        <sz val="10"/>
        <rFont val="Arial"/>
        <family val="2"/>
      </rPr>
      <t>E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  <charset val="186"/>
      </rPr>
      <t xml:space="preserve"> (vs WTW) =</t>
    </r>
  </si>
  <si>
    <r>
      <rPr>
        <b/>
        <i/>
        <sz val="10"/>
        <rFont val="Arial"/>
        <family val="2"/>
      </rPr>
      <t>u</t>
    </r>
    <r>
      <rPr>
        <b/>
        <sz val="10"/>
        <rFont val="Arial"/>
        <family val="2"/>
      </rPr>
      <t>(C</t>
    </r>
    <r>
      <rPr>
        <b/>
        <vertAlign val="subscript"/>
        <sz val="10"/>
        <rFont val="Arial"/>
        <family val="2"/>
      </rPr>
      <t>cal_rep)</t>
    </r>
  </si>
  <si>
    <r>
      <rPr>
        <b/>
        <i/>
        <sz val="10"/>
        <rFont val="Arial"/>
        <family val="2"/>
      </rPr>
      <t>u</t>
    </r>
    <r>
      <rPr>
        <b/>
        <sz val="10"/>
        <rFont val="Arial"/>
        <family val="2"/>
      </rPr>
      <t>(C</t>
    </r>
    <r>
      <rPr>
        <b/>
        <vertAlign val="subscript"/>
        <sz val="10"/>
        <rFont val="Arial"/>
        <family val="2"/>
      </rPr>
      <t>cal_0_rep)</t>
    </r>
  </si>
  <si>
    <r>
      <rPr>
        <b/>
        <i/>
        <sz val="10"/>
        <rFont val="Arial"/>
        <family val="2"/>
      </rPr>
      <t>u</t>
    </r>
    <r>
      <rPr>
        <b/>
        <sz val="10"/>
        <rFont val="Arial"/>
        <family val="2"/>
      </rPr>
      <t>(C</t>
    </r>
    <r>
      <rPr>
        <b/>
        <vertAlign val="subscript"/>
        <sz val="10"/>
        <rFont val="Arial"/>
        <family val="2"/>
      </rPr>
      <t>meas_Rep)</t>
    </r>
  </si>
  <si>
    <r>
      <rPr>
        <b/>
        <i/>
        <sz val="10"/>
        <rFont val="Arial"/>
        <family val="2"/>
      </rPr>
      <t>u</t>
    </r>
    <r>
      <rPr>
        <b/>
        <sz val="10"/>
        <rFont val="Arial"/>
        <family val="2"/>
      </rPr>
      <t>(C</t>
    </r>
    <r>
      <rPr>
        <b/>
        <vertAlign val="subscript"/>
        <sz val="10"/>
        <rFont val="Arial"/>
        <family val="2"/>
      </rPr>
      <t>cal)</t>
    </r>
  </si>
  <si>
    <r>
      <rPr>
        <b/>
        <i/>
        <sz val="10"/>
        <rFont val="Arial"/>
        <family val="2"/>
      </rPr>
      <t>b1</t>
    </r>
    <r>
      <rPr>
        <b/>
        <vertAlign val="subscript"/>
        <sz val="10"/>
        <rFont val="Arial"/>
        <family val="2"/>
        <charset val="186"/>
      </rPr>
      <t>stir</t>
    </r>
  </si>
  <si>
    <r>
      <rPr>
        <b/>
        <i/>
        <sz val="10"/>
        <rFont val="Arial"/>
        <family val="2"/>
      </rPr>
      <t>b1</t>
    </r>
    <r>
      <rPr>
        <b/>
        <vertAlign val="subscript"/>
        <sz val="10"/>
        <rFont val="Arial"/>
        <family val="2"/>
        <charset val="186"/>
      </rPr>
      <t>Δt</t>
    </r>
  </si>
  <si>
    <r>
      <rPr>
        <b/>
        <i/>
        <sz val="10"/>
        <rFont val="Arial"/>
        <family val="2"/>
      </rPr>
      <t>b1</t>
    </r>
    <r>
      <rPr>
        <b/>
        <vertAlign val="subscript"/>
        <sz val="10"/>
        <rFont val="Arial"/>
        <family val="2"/>
        <charset val="186"/>
      </rPr>
      <t>drift</t>
    </r>
  </si>
  <si>
    <r>
      <rPr>
        <b/>
        <i/>
        <sz val="10"/>
        <rFont val="Arial"/>
        <family val="2"/>
      </rPr>
      <t>b1</t>
    </r>
    <r>
      <rPr>
        <b/>
        <vertAlign val="subscript"/>
        <sz val="10"/>
        <rFont val="Arial"/>
        <family val="2"/>
        <charset val="186"/>
      </rPr>
      <t>linearity</t>
    </r>
  </si>
  <si>
    <r>
      <rPr>
        <b/>
        <i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read_cal_0</t>
    </r>
  </si>
  <si>
    <r>
      <rPr>
        <b/>
        <i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read_cal</t>
    </r>
  </si>
  <si>
    <r>
      <rPr>
        <b/>
        <i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cal_0</t>
    </r>
  </si>
  <si>
    <r>
      <rPr>
        <b/>
        <i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cal</t>
    </r>
  </si>
  <si>
    <r>
      <rPr>
        <i/>
        <sz val="10"/>
        <rFont val="Arial"/>
        <family val="2"/>
      </rPr>
      <t>t</t>
    </r>
    <r>
      <rPr>
        <vertAlign val="subscript"/>
        <sz val="10"/>
        <rFont val="Arial"/>
        <family val="2"/>
      </rPr>
      <t>cal_ref</t>
    </r>
  </si>
  <si>
    <r>
      <rPr>
        <i/>
        <sz val="10"/>
        <rFont val="Arial"/>
        <family val="2"/>
      </rPr>
      <t>P</t>
    </r>
    <r>
      <rPr>
        <vertAlign val="subscript"/>
        <sz val="10"/>
        <rFont val="Arial"/>
        <family val="2"/>
      </rPr>
      <t>cal_ref</t>
    </r>
  </si>
  <si>
    <r>
      <rPr>
        <i/>
        <sz val="10"/>
        <rFont val="Arial"/>
        <family val="2"/>
      </rPr>
      <t>t</t>
    </r>
    <r>
      <rPr>
        <vertAlign val="subscript"/>
        <sz val="10"/>
        <rFont val="Arial"/>
        <family val="2"/>
      </rPr>
      <t>cal_sensor</t>
    </r>
  </si>
  <si>
    <r>
      <rPr>
        <i/>
        <sz val="10"/>
        <rFont val="Arial"/>
        <family val="2"/>
      </rPr>
      <t>P</t>
    </r>
    <r>
      <rPr>
        <vertAlign val="subscript"/>
        <sz val="10"/>
        <rFont val="Arial"/>
        <family val="2"/>
      </rPr>
      <t>cal_sensor</t>
    </r>
  </si>
  <si>
    <r>
      <rPr>
        <b/>
        <i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read_meas</t>
    </r>
  </si>
  <si>
    <r>
      <rPr>
        <i/>
        <sz val="10"/>
        <rFont val="Arial"/>
        <family val="2"/>
      </rPr>
      <t>t</t>
    </r>
    <r>
      <rPr>
        <vertAlign val="subscript"/>
        <sz val="10"/>
        <rFont val="Arial"/>
        <family val="2"/>
      </rPr>
      <t>sample</t>
    </r>
  </si>
  <si>
    <r>
      <t>Δ</t>
    </r>
    <r>
      <rPr>
        <b/>
        <i/>
        <sz val="10"/>
        <rFont val="Arial"/>
        <family val="2"/>
      </rPr>
      <t>v</t>
    </r>
    <r>
      <rPr>
        <b/>
        <vertAlign val="subscript"/>
        <sz val="10"/>
        <rFont val="Arial"/>
        <family val="2"/>
      </rPr>
      <t>stir</t>
    </r>
  </si>
  <si>
    <r>
      <t>Δ</t>
    </r>
    <r>
      <rPr>
        <b/>
        <i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stir</t>
    </r>
  </si>
  <si>
    <r>
      <t>Δ</t>
    </r>
    <r>
      <rPr>
        <b/>
        <i/>
        <sz val="10"/>
        <rFont val="Arial"/>
        <family val="2"/>
      </rPr>
      <t>C</t>
    </r>
    <r>
      <rPr>
        <b/>
        <vertAlign val="subscript"/>
        <sz val="10"/>
        <rFont val="Calibri"/>
        <family val="2"/>
      </rPr>
      <t>Δ</t>
    </r>
    <r>
      <rPr>
        <b/>
        <vertAlign val="subscript"/>
        <sz val="10"/>
        <rFont val="Arial"/>
        <family val="2"/>
      </rPr>
      <t>t</t>
    </r>
  </si>
  <si>
    <r>
      <t>Δ</t>
    </r>
    <r>
      <rPr>
        <b/>
        <i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drift</t>
    </r>
  </si>
  <si>
    <r>
      <t>Δ</t>
    </r>
    <r>
      <rPr>
        <b/>
        <i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linearity</t>
    </r>
  </si>
  <si>
    <r>
      <rPr>
        <b/>
        <i/>
        <sz val="10"/>
        <rFont val="Arial"/>
        <family val="2"/>
      </rPr>
      <t>u</t>
    </r>
    <r>
      <rPr>
        <b/>
        <sz val="10"/>
        <rFont val="Arial"/>
        <family val="2"/>
      </rPr>
      <t>(C</t>
    </r>
    <r>
      <rPr>
        <b/>
        <vertAlign val="subscript"/>
        <sz val="10"/>
        <rFont val="Arial"/>
        <family val="2"/>
      </rPr>
      <t>cal_res)</t>
    </r>
  </si>
  <si>
    <r>
      <rPr>
        <b/>
        <i/>
        <sz val="10"/>
        <rFont val="Arial"/>
        <family val="2"/>
      </rPr>
      <t>u</t>
    </r>
    <r>
      <rPr>
        <b/>
        <sz val="10"/>
        <rFont val="Arial"/>
        <family val="2"/>
      </rPr>
      <t>(C</t>
    </r>
    <r>
      <rPr>
        <b/>
        <vertAlign val="subscript"/>
        <sz val="10"/>
        <rFont val="Arial"/>
        <family val="2"/>
      </rPr>
      <t>cal_0_res)</t>
    </r>
  </si>
  <si>
    <r>
      <rPr>
        <b/>
        <i/>
        <sz val="10"/>
        <rFont val="Arial"/>
        <family val="2"/>
      </rPr>
      <t>u</t>
    </r>
    <r>
      <rPr>
        <b/>
        <sz val="10"/>
        <rFont val="Arial"/>
        <family val="2"/>
      </rPr>
      <t>(C</t>
    </r>
    <r>
      <rPr>
        <b/>
        <vertAlign val="subscript"/>
        <sz val="10"/>
        <rFont val="Arial"/>
        <family val="2"/>
      </rPr>
      <t>cal_0)</t>
    </r>
  </si>
  <si>
    <r>
      <rPr>
        <b/>
        <i/>
        <sz val="10"/>
        <rFont val="Arial"/>
        <family val="2"/>
      </rPr>
      <t>u</t>
    </r>
    <r>
      <rPr>
        <b/>
        <sz val="10"/>
        <rFont val="Arial"/>
        <family val="2"/>
      </rPr>
      <t>(C</t>
    </r>
    <r>
      <rPr>
        <b/>
        <vertAlign val="subscript"/>
        <sz val="10"/>
        <rFont val="Arial"/>
        <family val="2"/>
      </rPr>
      <t>meas_res)</t>
    </r>
  </si>
  <si>
    <r>
      <rPr>
        <sz val="10"/>
        <rFont val="Calibri"/>
        <family val="2"/>
      </rPr>
      <t>±</t>
    </r>
    <r>
      <rPr>
        <sz val="10"/>
        <rFont val="Arial"/>
        <family val="2"/>
      </rPr>
      <t>Δ</t>
    </r>
    <r>
      <rPr>
        <i/>
        <sz val="10"/>
        <rFont val="Arial"/>
        <family val="2"/>
      </rPr>
      <t>v</t>
    </r>
    <r>
      <rPr>
        <vertAlign val="subscript"/>
        <sz val="10"/>
        <rFont val="Arial"/>
        <family val="2"/>
      </rPr>
      <t xml:space="preserve">stir </t>
    </r>
    <r>
      <rPr>
        <sz val="10"/>
        <rFont val="Arial"/>
        <family val="2"/>
      </rPr>
      <t>*</t>
    </r>
    <r>
      <rPr>
        <i/>
        <sz val="10"/>
        <rFont val="Arial"/>
        <family val="2"/>
      </rPr>
      <t>b1</t>
    </r>
    <r>
      <rPr>
        <vertAlign val="subscript"/>
        <sz val="10"/>
        <rFont val="Arial"/>
        <family val="2"/>
      </rPr>
      <t>stir</t>
    </r>
    <r>
      <rPr>
        <sz val="10"/>
        <rFont val="Arial"/>
        <family val="2"/>
      </rPr>
      <t>*</t>
    </r>
    <r>
      <rPr>
        <i/>
        <sz val="10"/>
        <rFont val="Arial"/>
        <family val="2"/>
      </rPr>
      <t>C</t>
    </r>
    <r>
      <rPr>
        <vertAlign val="subscript"/>
        <sz val="10"/>
        <rFont val="Arial"/>
        <family val="2"/>
      </rPr>
      <t>read_meas</t>
    </r>
    <r>
      <rPr>
        <sz val="10"/>
        <rFont val="Arial"/>
        <family val="2"/>
      </rPr>
      <t>/100%</t>
    </r>
  </si>
  <si>
    <r>
      <rPr>
        <sz val="10"/>
        <rFont val="Calibri"/>
        <family val="2"/>
      </rPr>
      <t>±</t>
    </r>
    <r>
      <rPr>
        <sz val="10"/>
        <rFont val="Arial"/>
        <family val="2"/>
      </rPr>
      <t>Δ</t>
    </r>
    <r>
      <rPr>
        <i/>
        <sz val="10"/>
        <rFont val="Arial"/>
        <family val="2"/>
      </rPr>
      <t>t</t>
    </r>
    <r>
      <rPr>
        <sz val="10"/>
        <rFont val="Arial"/>
        <family val="2"/>
      </rPr>
      <t>*</t>
    </r>
    <r>
      <rPr>
        <i/>
        <sz val="10"/>
        <rFont val="Arial"/>
        <family val="2"/>
      </rPr>
      <t>b1</t>
    </r>
    <r>
      <rPr>
        <vertAlign val="subscript"/>
        <sz val="10"/>
        <rFont val="Arial"/>
        <family val="2"/>
      </rPr>
      <t>Δt</t>
    </r>
    <r>
      <rPr>
        <sz val="10"/>
        <rFont val="Arial"/>
        <family val="2"/>
      </rPr>
      <t>/100%*</t>
    </r>
    <r>
      <rPr>
        <i/>
        <sz val="10"/>
        <rFont val="Arial"/>
        <family val="2"/>
      </rPr>
      <t>C</t>
    </r>
    <r>
      <rPr>
        <vertAlign val="subscript"/>
        <sz val="10"/>
        <rFont val="Arial"/>
        <family val="2"/>
      </rPr>
      <t>read_meas</t>
    </r>
  </si>
  <si>
    <r>
      <t>The largest slope of the drift graph (</t>
    </r>
    <r>
      <rPr>
        <i/>
        <sz val="9"/>
        <rFont val="Tahoma"/>
        <family val="2"/>
      </rPr>
      <t>number of days passed from calibration vs reading difference from the reference value mg/L</t>
    </r>
    <r>
      <rPr>
        <i/>
        <sz val="9"/>
        <rFont val="Arial"/>
        <family val="2"/>
      </rPr>
      <t>)</t>
    </r>
  </si>
  <si>
    <r>
      <rPr>
        <sz val="10"/>
        <rFont val="Calibri"/>
        <family val="2"/>
      </rPr>
      <t>±</t>
    </r>
    <r>
      <rPr>
        <sz val="10"/>
        <rFont val="Arial"/>
        <family val="2"/>
      </rPr>
      <t>Δ</t>
    </r>
    <r>
      <rPr>
        <i/>
        <sz val="10"/>
        <rFont val="Arial"/>
        <family val="2"/>
      </rPr>
      <t>C</t>
    </r>
    <r>
      <rPr>
        <sz val="10"/>
        <rFont val="Arial"/>
        <family val="2"/>
      </rPr>
      <t xml:space="preserve"> from 11 mg/L*</t>
    </r>
    <r>
      <rPr>
        <i/>
        <sz val="10"/>
        <rFont val="Arial"/>
        <family val="2"/>
      </rPr>
      <t>b1</t>
    </r>
    <r>
      <rPr>
        <vertAlign val="subscript"/>
        <sz val="10"/>
        <rFont val="Arial"/>
        <family val="2"/>
      </rPr>
      <t>linearity</t>
    </r>
    <r>
      <rPr>
        <sz val="10"/>
        <rFont val="Arial"/>
        <family val="2"/>
      </rPr>
      <t xml:space="preserve"> (if </t>
    </r>
    <r>
      <rPr>
        <i/>
        <sz val="10"/>
        <rFont val="Arial"/>
        <family val="2"/>
      </rPr>
      <t>C</t>
    </r>
    <r>
      <rPr>
        <vertAlign val="subscript"/>
        <sz val="10"/>
        <rFont val="Arial"/>
        <family val="2"/>
      </rPr>
      <t>read_meas</t>
    </r>
    <r>
      <rPr>
        <sz val="10"/>
        <rFont val="Arial"/>
        <family val="2"/>
      </rPr>
      <t>&gt;11)</t>
    </r>
  </si>
  <si>
    <t>reproducibility of the reading</t>
  </si>
  <si>
    <t>Possible bias:</t>
  </si>
  <si>
    <t xml:space="preserve">Estimated by the data of drift estimation, temperature compensation tests and measurements in water with higher salinity. </t>
  </si>
  <si>
    <t>Drift is measured two times during one month, alltogether 33 individual results.</t>
  </si>
  <si>
    <t>Measurements in KCl solution were made in one day and include 4 individual results.</t>
  </si>
  <si>
    <t>Intermediate precision:</t>
  </si>
  <si>
    <t>Estimated by the drift measurement data.</t>
  </si>
  <si>
    <t>Intermediate precision has been estimated as the pooled standard deviation of the relative differences of results from the reference value.</t>
  </si>
  <si>
    <t>Measurements were done with two different sensor calibration values whereby on calibration was used during one month.</t>
  </si>
  <si>
    <t xml:space="preserve">So for the sample </t>
  </si>
  <si>
    <t>the standard uncertainty is</t>
  </si>
  <si>
    <t>WTW</t>
  </si>
  <si>
    <t>Drift is measured two times during one month, alltogether 30 individual results.</t>
  </si>
  <si>
    <t>%/%</t>
  </si>
  <si>
    <r>
      <t>s(b1</t>
    </r>
    <r>
      <rPr>
        <b/>
        <vertAlign val="subscript"/>
        <sz val="10"/>
        <rFont val="Arial"/>
        <family val="2"/>
        <charset val="186"/>
      </rPr>
      <t>drift</t>
    </r>
    <r>
      <rPr>
        <b/>
        <sz val="10"/>
        <rFont val="Arial"/>
        <family val="2"/>
      </rPr>
      <t>)</t>
    </r>
  </si>
  <si>
    <t xml:space="preserve">Standard deviation of the slope of the drift graph </t>
  </si>
  <si>
    <r>
      <t>b1</t>
    </r>
    <r>
      <rPr>
        <b/>
        <vertAlign val="subscript"/>
        <sz val="10"/>
        <rFont val="Arial"/>
        <family val="2"/>
        <charset val="186"/>
      </rPr>
      <t>drift</t>
    </r>
  </si>
  <si>
    <r>
      <t>The slope of the drift graph (</t>
    </r>
    <r>
      <rPr>
        <i/>
        <sz val="9"/>
        <rFont val="Tahoma"/>
        <family val="2"/>
      </rPr>
      <t>number of days passed from calibration vs reading difference from the reference value mg/L</t>
    </r>
    <r>
      <rPr>
        <i/>
        <sz val="9"/>
        <rFont val="Arial"/>
        <family val="2"/>
      </rPr>
      <t>)</t>
    </r>
  </si>
  <si>
    <r>
      <rPr>
        <sz val="10"/>
        <rFont val="Calibri"/>
        <family val="2"/>
      </rPr>
      <t>±</t>
    </r>
    <r>
      <rPr>
        <sz val="10"/>
        <rFont val="Arial"/>
        <family val="2"/>
      </rPr>
      <t>Δdays*(</t>
    </r>
    <r>
      <rPr>
        <i/>
        <sz val="10"/>
        <rFont val="Arial"/>
        <family val="2"/>
      </rPr>
      <t>b1</t>
    </r>
    <r>
      <rPr>
        <vertAlign val="subscript"/>
        <sz val="10"/>
        <rFont val="Arial"/>
        <family val="2"/>
      </rPr>
      <t>drift</t>
    </r>
    <r>
      <rPr>
        <sz val="10"/>
        <rFont val="Arial"/>
        <family val="2"/>
      </rPr>
      <t>+s(b1</t>
    </r>
    <r>
      <rPr>
        <vertAlign val="subscript"/>
        <sz val="10"/>
        <rFont val="Arial"/>
        <family val="2"/>
      </rPr>
      <t>drift</t>
    </r>
    <r>
      <rPr>
        <sz val="10"/>
        <rFont val="Arial"/>
        <family val="2"/>
      </rPr>
      <t>))</t>
    </r>
  </si>
  <si>
    <r>
      <rPr>
        <b/>
        <i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result</t>
    </r>
    <r>
      <rPr>
        <b/>
        <sz val="10"/>
        <rFont val="Arial"/>
        <family val="2"/>
      </rPr>
      <t>-</t>
    </r>
    <r>
      <rPr>
        <b/>
        <i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 xml:space="preserve">ref </t>
    </r>
    <r>
      <rPr>
        <b/>
        <sz val="10"/>
        <rFont val="Arial"/>
        <family val="2"/>
      </rPr>
      <t>(%)</t>
    </r>
  </si>
  <si>
    <t>Stirring test</t>
  </si>
  <si>
    <t>drift1</t>
  </si>
  <si>
    <t>drift 2</t>
  </si>
  <si>
    <t>temp_komp</t>
  </si>
  <si>
    <t>act</t>
  </si>
  <si>
    <t>n</t>
  </si>
  <si>
    <t>Temperature compensation tests include measurements in one day, alltogether 5 individual bias determinations.</t>
  </si>
  <si>
    <r>
      <rPr>
        <i/>
        <sz val="10"/>
        <rFont val="Arial"/>
        <family val="2"/>
      </rPr>
      <t>RMS</t>
    </r>
    <r>
      <rPr>
        <vertAlign val="subscript"/>
        <sz val="10"/>
        <rFont val="Arial"/>
        <family val="2"/>
      </rPr>
      <t>bias_rel</t>
    </r>
  </si>
  <si>
    <r>
      <rPr>
        <i/>
        <sz val="10"/>
        <rFont val="Arial"/>
        <family val="2"/>
      </rPr>
      <t>u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bias</t>
    </r>
    <r>
      <rPr>
        <sz val="10"/>
        <rFont val="Arial"/>
        <family val="2"/>
      </rPr>
      <t>)=</t>
    </r>
  </si>
  <si>
    <r>
      <rPr>
        <i/>
        <sz val="10"/>
        <rFont val="Arial"/>
        <family val="2"/>
        <charset val="186"/>
      </rPr>
      <t>u</t>
    </r>
    <r>
      <rPr>
        <sz val="10"/>
        <rFont val="Arial"/>
        <family val="2"/>
        <charset val="186"/>
      </rPr>
      <t>(</t>
    </r>
    <r>
      <rPr>
        <i/>
        <sz val="10"/>
        <rFont val="Arial"/>
        <family val="2"/>
        <charset val="186"/>
      </rPr>
      <t>R</t>
    </r>
    <r>
      <rPr>
        <vertAlign val="subscript"/>
        <sz val="10"/>
        <rFont val="Arial"/>
        <family val="2"/>
        <charset val="186"/>
      </rPr>
      <t>w</t>
    </r>
    <r>
      <rPr>
        <sz val="10"/>
        <rFont val="Arial"/>
        <family val="2"/>
        <charset val="186"/>
      </rPr>
      <t>)</t>
    </r>
    <r>
      <rPr>
        <vertAlign val="subscript"/>
        <sz val="10"/>
        <rFont val="Arial"/>
        <family val="2"/>
      </rPr>
      <t>rel</t>
    </r>
    <r>
      <rPr>
        <sz val="10"/>
        <rFont val="Arial"/>
        <family val="2"/>
      </rPr>
      <t>=</t>
    </r>
  </si>
  <si>
    <r>
      <rPr>
        <b/>
        <i/>
        <sz val="10"/>
        <rFont val="Arial"/>
        <family val="2"/>
      </rPr>
      <t>u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>=</t>
    </r>
  </si>
  <si>
    <r>
      <t>s</t>
    </r>
    <r>
      <rPr>
        <b/>
        <vertAlign val="subscript"/>
        <sz val="10"/>
        <rFont val="Arial"/>
        <family val="2"/>
      </rPr>
      <t>r</t>
    </r>
  </si>
  <si>
    <r>
      <rPr>
        <i/>
        <sz val="10"/>
        <rFont val="Arial"/>
        <family val="2"/>
      </rPr>
      <t>u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C</t>
    </r>
    <r>
      <rPr>
        <vertAlign val="subscript"/>
        <sz val="10"/>
        <rFont val="Arial"/>
        <family val="2"/>
      </rPr>
      <t>ref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>rel</t>
    </r>
  </si>
  <si>
    <t>Characteristic</t>
  </si>
  <si>
    <t>Measuring range (linear range)</t>
  </si>
  <si>
    <t>0 – 50 mg/L</t>
  </si>
  <si>
    <t>0.1 – 20 mg/L</t>
  </si>
  <si>
    <t>Influence of flow rate</t>
  </si>
  <si>
    <t>Not specified</t>
  </si>
  <si>
    <t>Parameters related to precision and accuracy</t>
  </si>
  <si>
    <t>±0.2 mg/L for greater than 8 mg/L</t>
  </si>
  <si>
    <t>Accuracy of temperature measurement</t>
  </si>
  <si>
    <t>Stabilization time</t>
  </si>
  <si>
    <t>t90 &lt; 10 s</t>
  </si>
  <si>
    <t>Stabilization time T90% at 10 seconds (when stirred)</t>
  </si>
  <si>
    <t>Zero signal</t>
  </si>
  <si>
    <t>Drift (in one month)</t>
  </si>
  <si>
    <t>Pressure measurement accuracy</t>
  </si>
  <si>
    <t>Working life without maintenance</t>
  </si>
  <si>
    <t>min. 6 months with one electrolyte fill</t>
  </si>
  <si>
    <t>1 year</t>
  </si>
  <si>
    <t>Oxygen own consumption at 20 °C</t>
  </si>
  <si>
    <t>No own consumption</t>
  </si>
  <si>
    <r>
      <t>Table S1 Characteristics</t>
    </r>
    <r>
      <rPr>
        <sz val="8"/>
        <color theme="1"/>
        <rFont val="Times New Roman"/>
        <family val="1"/>
      </rPr>
      <t> </t>
    </r>
    <r>
      <rPr>
        <b/>
        <sz val="10"/>
        <color theme="1"/>
        <rFont val="Times New Roman"/>
        <family val="1"/>
      </rPr>
      <t xml:space="preserve"> of the sensors as provided by manufacturers. </t>
    </r>
  </si>
  <si>
    <r>
      <t>0.008 μg/h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 xml:space="preserve"> (mg/L)</t>
    </r>
    <r>
      <rPr>
        <vertAlign val="superscript"/>
        <sz val="12"/>
        <color theme="1"/>
        <rFont val="Times New Roman"/>
        <family val="1"/>
      </rPr>
      <t>-1</t>
    </r>
  </si>
  <si>
    <t>10% (flow rate) &gt; 3 cm/s)</t>
  </si>
  <si>
    <t>5% (flow rate) &gt; 10 cm/s)</t>
  </si>
  <si>
    <t>1% (flow rate) &gt; 18 cm/s)</t>
  </si>
  <si>
    <t>±0,5% (in the range 5-30°C)</t>
  </si>
  <si>
    <t>±0.1 mg/L for 0 to 8 mg/L</t>
  </si>
  <si>
    <t xml:space="preserve">±0.1 °C </t>
  </si>
  <si>
    <t>±0.3 °C</t>
  </si>
  <si>
    <t>t95 &lt; 16 s</t>
  </si>
  <si>
    <t>t99 &lt; 60 s</t>
  </si>
  <si>
    <t>&lt; 0,1%</t>
  </si>
  <si>
    <t>±0,8%</t>
  </si>
  <si>
    <t>References to the Electronic Supplementary Material:</t>
  </si>
  <si>
    <t>Source of data</t>
  </si>
  <si>
    <r>
      <t>Comparative validation of amperometric and optical analyzers of dissolved oxygen: a case study</t>
    </r>
    <r>
      <rPr>
        <sz val="8"/>
        <color theme="1"/>
        <rFont val="Times New Roman"/>
        <family val="1"/>
        <charset val="186"/>
      </rPr>
      <t> </t>
    </r>
  </si>
  <si>
    <r>
      <t>1</t>
    </r>
    <r>
      <rPr>
        <sz val="12"/>
        <color rgb="FF000000"/>
        <rFont val="Times New Roman"/>
        <family val="1"/>
        <charset val="186"/>
      </rPr>
      <t xml:space="preserve"> </t>
    </r>
    <r>
      <rPr>
        <i/>
        <sz val="12"/>
        <color rgb="FF000000"/>
        <rFont val="Times New Roman"/>
        <family val="1"/>
        <charset val="186"/>
      </rPr>
      <t>University of Tartu, Institute of Chemistry, Ravila 14a, Tartu 50411, Estonia</t>
    </r>
  </si>
  <si>
    <r>
      <t>2</t>
    </r>
    <r>
      <rPr>
        <sz val="12"/>
        <color rgb="FF000000"/>
        <rFont val="Times New Roman"/>
        <family val="1"/>
        <charset val="186"/>
      </rPr>
      <t xml:space="preserve"> </t>
    </r>
    <r>
      <rPr>
        <i/>
        <sz val="12"/>
        <color rgb="FF000000"/>
        <rFont val="Times New Roman"/>
        <family val="1"/>
        <charset val="186"/>
      </rPr>
      <t>Current address: Estonian Veterinary and Food Laboratory, Kreutzwaldi 30, 51006 Tartu, Estonia</t>
    </r>
  </si>
  <si>
    <t>* Corresponding author: Tel: +372-5 184 176, e-mail: ivo.leito@ut.ee</t>
  </si>
  <si>
    <t>Table S2. Measurement uncertainty using the ISO GUM method with Kragten approach</t>
  </si>
  <si>
    <t>Data from River Emajõgi</t>
  </si>
  <si>
    <t>Table S3. Measurement uncertainty using the ISO GUM method with Kragten approach</t>
  </si>
  <si>
    <t>Table S4. Measurement uncertainty using the ISO GUM method with Kragten approach</t>
  </si>
  <si>
    <t>Data from Lake Ilmatsalu 1</t>
  </si>
  <si>
    <t>Table S5. Measurement uncertainty using the ISO GUM method with Kragten approach</t>
  </si>
  <si>
    <t>Data from Lake Ilmatsalu 2</t>
  </si>
  <si>
    <t>Table S6. Measurement uncertainty using the ISO GUM method with Kragten approach</t>
  </si>
  <si>
    <t>Table S7. Measurement uncertainty using the ISO GUM method with Kragten approach</t>
  </si>
  <si>
    <t>Data from Jordan spring</t>
  </si>
  <si>
    <t>Table S8. Measurement uncertainty using the ISO GUM method with Kragten approach</t>
  </si>
  <si>
    <t>Table S9. Measurement uncertainty using the ISO GUM method with Kragten approach</t>
  </si>
  <si>
    <t>Data from Pärnu coast</t>
  </si>
  <si>
    <t>Table S10. Measurement uncertainty using the ISO GUM method with Kragten approach</t>
  </si>
  <si>
    <t>Table S11. Measurement uncertainty using the ISO GUM method with Kragten approach</t>
  </si>
  <si>
    <t>Table S12. Measurement uncertainty using the Nordtest approach. Optical analyzer.</t>
  </si>
  <si>
    <t>Table S13. Measurement uncertainty using the Nordtest approach. Amperometric analyzer.</t>
  </si>
  <si>
    <r>
      <t xml:space="preserve">Calibration envirnment DO concentration at saturation, calculated by the </t>
    </r>
    <r>
      <rPr>
        <b/>
        <sz val="10"/>
        <rFont val="Arial"/>
        <family val="2"/>
      </rPr>
      <t>Ref 4</t>
    </r>
  </si>
  <si>
    <r>
      <t xml:space="preserve">Salinity, calculated from measured conductivity (recalculated to 25 C), using </t>
    </r>
    <r>
      <rPr>
        <b/>
        <sz val="10"/>
        <rFont val="Arial"/>
        <family val="2"/>
      </rPr>
      <t>Refs 5, 6 and 7</t>
    </r>
  </si>
  <si>
    <r>
      <t>Constants for salinity calculation (</t>
    </r>
    <r>
      <rPr>
        <b/>
        <sz val="10"/>
        <rFont val="Arial"/>
        <family val="2"/>
      </rPr>
      <t>Ref 6</t>
    </r>
    <r>
      <rPr>
        <sz val="10"/>
        <rFont val="Arial"/>
        <family val="2"/>
      </rPr>
      <t>):</t>
    </r>
  </si>
  <si>
    <t>Ref 7:</t>
  </si>
  <si>
    <r>
      <t xml:space="preserve">Estimated as in </t>
    </r>
    <r>
      <rPr>
        <b/>
        <sz val="10"/>
        <rFont val="Arial"/>
        <family val="2"/>
      </rPr>
      <t>Ref 3</t>
    </r>
  </si>
  <si>
    <r>
      <t xml:space="preserve">From </t>
    </r>
    <r>
      <rPr>
        <b/>
        <i/>
        <sz val="9"/>
        <rFont val="Arial"/>
        <family val="2"/>
      </rPr>
      <t>Ref 3</t>
    </r>
  </si>
  <si>
    <r>
      <t xml:space="preserve">Salinity, calculated from measured conductivity (recalculated to 25 C), using </t>
    </r>
    <r>
      <rPr>
        <b/>
        <sz val="10"/>
        <rFont val="Arial"/>
        <family val="2"/>
      </rPr>
      <t>Refs 5,6 and 7</t>
    </r>
  </si>
  <si>
    <t>1. HACH Company (2006). HQ Series Portable Meters, USER MANUAL, edition 5.</t>
  </si>
  <si>
    <t>2. Weilheim 2002, WTW GmbH &amp; Co. KG Operating Manual, CellOx 325 Dissolved oxygen sensor. Available at: http://www.globalw.com/downloads/WQ/cellox325.pdf</t>
  </si>
  <si>
    <r>
      <t xml:space="preserve">3. Helm, I., Jalukse, L., and Leito, I. (2012). A highly accurate method for determination of dissolved oxygen: Gravimetric Winkler method. </t>
    </r>
    <r>
      <rPr>
        <i/>
        <sz val="12"/>
        <color theme="1"/>
        <rFont val="Times New Roman"/>
        <family val="1"/>
      </rPr>
      <t>Anal. Chim. Acta</t>
    </r>
    <r>
      <rPr>
        <sz val="12"/>
        <color theme="1"/>
        <rFont val="Times New Roman"/>
        <family val="1"/>
      </rPr>
      <t xml:space="preserve"> 741, 21–31. doi:10.1016/j.aca.2012.06.049.</t>
    </r>
  </si>
  <si>
    <r>
      <t xml:space="preserve">4. Benson, B. B., and Krause, D. (1984). The concentration and isotopic fractionation of oxygen dissolved in freshwater and seawater in equilibrium with the atmosphere. </t>
    </r>
    <r>
      <rPr>
        <i/>
        <sz val="12"/>
        <color theme="1"/>
        <rFont val="Times New Roman"/>
        <family val="1"/>
      </rPr>
      <t>Limnol. Oceanogr.</t>
    </r>
    <r>
      <rPr>
        <sz val="12"/>
        <color theme="1"/>
        <rFont val="Times New Roman"/>
        <family val="1"/>
      </rPr>
      <t xml:space="preserve"> 29, 620–632. doi:10.4319/lo.1984.29.3.0620.</t>
    </r>
  </si>
  <si>
    <t>5. McDougall, T.J. and P.M. Barker. Getting started with TEOS-10 and the Gibbs Seawater (GSW) Oceanographic Toolbox, 2011, 28pp., SCOR/IAPSO WG127, ISBN 978-0-646-55621-5.</t>
  </si>
  <si>
    <r>
      <t xml:space="preserve">6. Clesceri, L. S., American Public Health Association, American Water Works Association, and Water Pollution Control Federation eds. (1998). </t>
    </r>
    <r>
      <rPr>
        <i/>
        <sz val="12"/>
        <color theme="1"/>
        <rFont val="Times New Roman"/>
        <family val="1"/>
      </rPr>
      <t>Standard methods: for the examination of water and wastewater</t>
    </r>
    <r>
      <rPr>
        <sz val="12"/>
        <color theme="1"/>
        <rFont val="Times New Roman"/>
        <family val="1"/>
      </rPr>
      <t>. 20. ed. Washington: American Public Health Ass.</t>
    </r>
  </si>
  <si>
    <t>7. ISO 7888, Water quality - Determination of electrical conductivity, 1985.</t>
  </si>
  <si>
    <t>Ref 1</t>
  </si>
  <si>
    <t>Ref 2</t>
  </si>
  <si>
    <r>
      <t>3</t>
    </r>
    <r>
      <rPr>
        <i/>
        <sz val="12"/>
        <color rgb="FF000000"/>
        <rFont val="Times New Roman"/>
        <family val="1"/>
        <charset val="186"/>
      </rPr>
      <t xml:space="preserve"> Department of Science &amp; Mathematics, Rochester Institute of Technology, Rochester, New York 14623, United States</t>
    </r>
  </si>
  <si>
    <r>
      <t>Irja Helm,</t>
    </r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 Gerli Karina,</t>
    </r>
    <r>
      <rPr>
        <vertAlign val="superscript"/>
        <sz val="11"/>
        <rFont val="Calibri"/>
        <family val="2"/>
        <charset val="186"/>
        <scheme val="minor"/>
      </rPr>
      <t>1,2</t>
    </r>
    <r>
      <rPr>
        <sz val="11"/>
        <rFont val="Calibri"/>
        <family val="2"/>
        <charset val="186"/>
        <scheme val="minor"/>
      </rPr>
      <t xml:space="preserve"> Lauri Jalukse,</t>
    </r>
    <r>
      <rPr>
        <vertAlign val="superscript"/>
        <sz val="11"/>
        <rFont val="Calibri"/>
        <family val="2"/>
        <charset val="186"/>
        <scheme val="minor"/>
      </rPr>
      <t>1,2</t>
    </r>
    <r>
      <rPr>
        <sz val="11"/>
        <rFont val="Calibri"/>
        <family val="2"/>
        <charset val="186"/>
        <scheme val="minor"/>
      </rPr>
      <t xml:space="preserve"> Todd Pagano,</t>
    </r>
    <r>
      <rPr>
        <vertAlign val="superscript"/>
        <sz val="11"/>
        <rFont val="Calibri"/>
        <family val="2"/>
        <charset val="186"/>
        <scheme val="minor"/>
      </rPr>
      <t>3</t>
    </r>
    <r>
      <rPr>
        <sz val="11"/>
        <rFont val="Calibri"/>
        <family val="2"/>
        <charset val="186"/>
        <scheme val="minor"/>
      </rPr>
      <t xml:space="preserve"> Ivo Leito</t>
    </r>
    <r>
      <rPr>
        <vertAlign val="superscript"/>
        <sz val="11"/>
        <rFont val="Calibri"/>
        <family val="2"/>
        <charset val="186"/>
        <scheme val="minor"/>
      </rPr>
      <t>1,</t>
    </r>
    <r>
      <rPr>
        <sz val="11"/>
        <rFont val="Calibri"/>
        <family val="2"/>
        <charset val="186"/>
        <scheme val="minor"/>
      </rPr>
      <t>*</t>
    </r>
  </si>
  <si>
    <r>
      <t xml:space="preserve">I. Helm, G. Karina, L. Jalukse, T. Pagano, I. Leito, </t>
    </r>
    <r>
      <rPr>
        <i/>
        <u/>
        <sz val="12"/>
        <color rgb="FF0000CC"/>
        <rFont val="Calibri"/>
        <family val="2"/>
        <charset val="186"/>
        <scheme val="minor"/>
      </rPr>
      <t>Environmental Monitoring and Assessment</t>
    </r>
    <r>
      <rPr>
        <u/>
        <sz val="12"/>
        <color rgb="FF0000CC"/>
        <rFont val="Calibri"/>
        <family val="2"/>
        <charset val="186"/>
        <scheme val="minor"/>
      </rPr>
      <t xml:space="preserve"> </t>
    </r>
    <r>
      <rPr>
        <b/>
        <u/>
        <sz val="12"/>
        <color rgb="FF0000CC"/>
        <rFont val="Calibri"/>
        <family val="2"/>
        <charset val="186"/>
        <scheme val="minor"/>
      </rPr>
      <t>2018</t>
    </r>
    <r>
      <rPr>
        <u/>
        <sz val="12"/>
        <color rgb="FF0000CC"/>
        <rFont val="Calibri"/>
        <family val="2"/>
        <charset val="186"/>
        <scheme val="minor"/>
      </rPr>
      <t xml:space="preserve">, </t>
    </r>
    <r>
      <rPr>
        <i/>
        <u/>
        <sz val="12"/>
        <color rgb="FF0000CC"/>
        <rFont val="Calibri"/>
        <family val="2"/>
        <charset val="186"/>
        <scheme val="minor"/>
      </rPr>
      <t>190</t>
    </r>
    <r>
      <rPr>
        <u/>
        <sz val="12"/>
        <color rgb="FF0000CC"/>
        <rFont val="Calibri"/>
        <family val="2"/>
        <charset val="186"/>
        <scheme val="minor"/>
      </rPr>
      <t>, 313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</si>
</sst>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0.000"/>
    <numFmt numFmtId="166" formatCode="0.0%"/>
    <numFmt numFmtId="167" formatCode="0.00000"/>
    <numFmt numFmtId="168" formatCode="0.0000%"/>
    <numFmt numFmtId="169" formatCode="0.0000000000"/>
    <numFmt numFmtId="170" formatCode="0.0"/>
  </numFmts>
  <fonts count="5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color rgb="FFFF0000"/>
      <name val="Arial"/>
      <family val="2"/>
    </font>
    <font>
      <b/>
      <sz val="14"/>
      <color rgb="FF0070C0"/>
      <name val="Arial"/>
      <family val="2"/>
    </font>
    <font>
      <b/>
      <vertAlign val="subscript"/>
      <sz val="10"/>
      <name val="Arial"/>
      <family val="2"/>
    </font>
    <font>
      <vertAlign val="subscript"/>
      <sz val="10"/>
      <name val="Arial"/>
      <family val="2"/>
    </font>
    <font>
      <sz val="10"/>
      <name val="Tahoma"/>
      <family val="2"/>
    </font>
    <font>
      <b/>
      <sz val="10"/>
      <name val="Calibri"/>
      <family val="2"/>
    </font>
    <font>
      <b/>
      <i/>
      <sz val="10"/>
      <name val="Arial"/>
      <family val="2"/>
    </font>
    <font>
      <sz val="10"/>
      <name val="Calibri"/>
      <family val="2"/>
    </font>
    <font>
      <b/>
      <vertAlign val="subscript"/>
      <sz val="10"/>
      <name val="Calibri"/>
      <family val="2"/>
    </font>
    <font>
      <sz val="10"/>
      <name val="Arial"/>
      <family val="2"/>
      <charset val="186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b/>
      <i/>
      <sz val="9"/>
      <name val="Arial"/>
      <family val="2"/>
    </font>
    <font>
      <b/>
      <vertAlign val="subscript"/>
      <sz val="10"/>
      <name val="Arial"/>
      <family val="2"/>
      <charset val="186"/>
    </font>
    <font>
      <sz val="9"/>
      <name val="Times New Roman"/>
      <family val="1"/>
      <charset val="186"/>
    </font>
    <font>
      <i/>
      <sz val="9"/>
      <name val="Tahoma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i/>
      <sz val="10"/>
      <name val="Symbol"/>
      <family val="1"/>
      <charset val="2"/>
    </font>
    <font>
      <b/>
      <i/>
      <sz val="10"/>
      <name val="Calibri"/>
      <family val="2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  <font>
      <b/>
      <sz val="14"/>
      <color rgb="FF00B050"/>
      <name val="Arial"/>
      <family val="2"/>
    </font>
    <font>
      <i/>
      <sz val="10"/>
      <name val="Arial"/>
      <family val="2"/>
      <charset val="186"/>
    </font>
    <font>
      <vertAlign val="subscript"/>
      <sz val="10"/>
      <name val="Arial"/>
      <family val="2"/>
      <charset val="186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0070C0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6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u/>
      <sz val="12"/>
      <color rgb="FF0000CC"/>
      <name val="Calibri"/>
      <family val="2"/>
      <charset val="186"/>
      <scheme val="minor"/>
    </font>
    <font>
      <i/>
      <u/>
      <sz val="12"/>
      <color rgb="FF0000CC"/>
      <name val="Calibri"/>
      <family val="2"/>
      <charset val="186"/>
      <scheme val="minor"/>
    </font>
    <font>
      <b/>
      <u/>
      <sz val="12"/>
      <color rgb="FF0000CC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47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1"/>
    <xf numFmtId="0" fontId="2" fillId="0" borderId="0" xfId="1" applyFont="1"/>
    <xf numFmtId="166" fontId="0" fillId="0" borderId="0" xfId="2" applyNumberFormat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Fill="1" applyAlignment="1" applyProtection="1">
      <alignment horizontal="center"/>
      <protection locked="0"/>
    </xf>
    <xf numFmtId="0" fontId="3" fillId="2" borderId="0" xfId="1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1" fillId="2" borderId="0" xfId="1" applyFill="1" applyAlignment="1">
      <alignment horizontal="center"/>
    </xf>
    <xf numFmtId="0" fontId="1" fillId="2" borderId="0" xfId="1" applyFill="1"/>
    <xf numFmtId="0" fontId="1" fillId="2" borderId="0" xfId="1" applyNumberFormat="1" applyFill="1"/>
    <xf numFmtId="164" fontId="3" fillId="0" borderId="0" xfId="1" applyNumberFormat="1" applyFont="1" applyBorder="1" applyAlignment="1">
      <alignment horizontal="center"/>
    </xf>
    <xf numFmtId="0" fontId="1" fillId="0" borderId="0" xfId="1" applyFill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168" fontId="3" fillId="0" borderId="8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0" fontId="3" fillId="0" borderId="0" xfId="1" applyFont="1" applyFill="1" applyAlignment="1" applyProtection="1">
      <alignment horizontal="left"/>
      <protection locked="0"/>
    </xf>
    <xf numFmtId="168" fontId="3" fillId="0" borderId="0" xfId="1" applyNumberFormat="1" applyFont="1" applyBorder="1" applyAlignment="1">
      <alignment horizontal="center"/>
    </xf>
    <xf numFmtId="0" fontId="1" fillId="4" borderId="0" xfId="1" applyFill="1"/>
    <xf numFmtId="2" fontId="1" fillId="0" borderId="0" xfId="1" applyNumberFormat="1" applyAlignment="1">
      <alignment horizontal="center"/>
    </xf>
    <xf numFmtId="165" fontId="1" fillId="0" borderId="0" xfId="1" applyNumberFormat="1" applyAlignment="1">
      <alignment horizontal="center"/>
    </xf>
    <xf numFmtId="0" fontId="3" fillId="5" borderId="0" xfId="1" applyFont="1" applyFill="1"/>
    <xf numFmtId="2" fontId="1" fillId="5" borderId="0" xfId="1" applyNumberFormat="1" applyFill="1" applyAlignment="1">
      <alignment horizontal="center"/>
    </xf>
    <xf numFmtId="0" fontId="15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164" fontId="18" fillId="0" borderId="0" xfId="1" applyNumberFormat="1" applyFont="1"/>
    <xf numFmtId="164" fontId="3" fillId="0" borderId="0" xfId="1" applyNumberFormat="1" applyFont="1"/>
    <xf numFmtId="0" fontId="20" fillId="0" borderId="0" xfId="1" applyFont="1" applyAlignment="1">
      <alignment vertical="center"/>
    </xf>
    <xf numFmtId="0" fontId="21" fillId="0" borderId="0" xfId="1" applyFont="1"/>
    <xf numFmtId="167" fontId="18" fillId="0" borderId="0" xfId="1" applyNumberFormat="1" applyFont="1"/>
    <xf numFmtId="165" fontId="18" fillId="0" borderId="0" xfId="1" applyNumberFormat="1" applyFont="1"/>
    <xf numFmtId="0" fontId="16" fillId="0" borderId="0" xfId="1" applyFont="1"/>
    <xf numFmtId="0" fontId="5" fillId="0" borderId="0" xfId="1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/>
    <xf numFmtId="0" fontId="2" fillId="0" borderId="0" xfId="1" applyFont="1" applyFill="1" applyBorder="1" applyAlignment="1"/>
    <xf numFmtId="0" fontId="2" fillId="0" borderId="0" xfId="1" applyFont="1" applyFill="1" applyAlignment="1" applyProtection="1">
      <alignment horizontal="left"/>
      <protection locked="0"/>
    </xf>
    <xf numFmtId="169" fontId="1" fillId="0" borderId="0" xfId="1" applyNumberFormat="1"/>
    <xf numFmtId="166" fontId="1" fillId="0" borderId="0" xfId="1" applyNumberFormat="1"/>
    <xf numFmtId="165" fontId="1" fillId="5" borderId="0" xfId="1" applyNumberFormat="1" applyFill="1" applyAlignment="1">
      <alignment horizontal="center"/>
    </xf>
    <xf numFmtId="166" fontId="0" fillId="0" borderId="0" xfId="2" applyNumberFormat="1" applyFont="1" applyFill="1"/>
    <xf numFmtId="0" fontId="19" fillId="0" borderId="0" xfId="1" applyFont="1" applyBorder="1" applyAlignment="1">
      <alignment horizontal="left"/>
    </xf>
    <xf numFmtId="0" fontId="11" fillId="0" borderId="0" xfId="1" applyFont="1"/>
    <xf numFmtId="0" fontId="3" fillId="0" borderId="0" xfId="1" applyFont="1" applyBorder="1" applyAlignment="1">
      <alignment horizontal="left"/>
    </xf>
    <xf numFmtId="0" fontId="30" fillId="0" borderId="0" xfId="1" applyFont="1" applyAlignment="1">
      <alignment horizontal="center"/>
    </xf>
    <xf numFmtId="0" fontId="31" fillId="0" borderId="0" xfId="1" applyFont="1" applyFill="1" applyAlignment="1" applyProtection="1">
      <alignment horizontal="center"/>
      <protection locked="0"/>
    </xf>
    <xf numFmtId="0" fontId="4" fillId="0" borderId="0" xfId="4" applyFont="1"/>
    <xf numFmtId="0" fontId="3" fillId="0" borderId="0" xfId="4"/>
    <xf numFmtId="0" fontId="3" fillId="0" borderId="0" xfId="4" applyFont="1"/>
    <xf numFmtId="0" fontId="32" fillId="0" borderId="0" xfId="4" applyFont="1"/>
    <xf numFmtId="0" fontId="2" fillId="0" borderId="0" xfId="4" applyFont="1"/>
    <xf numFmtId="10" fontId="0" fillId="0" borderId="0" xfId="2" applyNumberFormat="1" applyFont="1"/>
    <xf numFmtId="0" fontId="5" fillId="0" borderId="0" xfId="4" applyFont="1"/>
    <xf numFmtId="10" fontId="5" fillId="0" borderId="0" xfId="2" applyNumberFormat="1" applyFont="1"/>
    <xf numFmtId="2" fontId="3" fillId="6" borderId="0" xfId="4" applyNumberFormat="1" applyFill="1"/>
    <xf numFmtId="0" fontId="33" fillId="0" borderId="0" xfId="4" applyFont="1"/>
    <xf numFmtId="2" fontId="3" fillId="7" borderId="0" xfId="4" applyNumberFormat="1" applyFill="1"/>
    <xf numFmtId="10" fontId="3" fillId="0" borderId="0" xfId="2" applyNumberFormat="1" applyFont="1"/>
    <xf numFmtId="0" fontId="4" fillId="0" borderId="0" xfId="0" applyFont="1" applyFill="1" applyAlignment="1" applyProtection="1">
      <alignment horizontal="center"/>
      <protection locked="0"/>
    </xf>
    <xf numFmtId="0" fontId="34" fillId="0" borderId="0" xfId="1" applyFont="1"/>
    <xf numFmtId="165" fontId="1" fillId="0" borderId="0" xfId="1" applyNumberFormat="1"/>
    <xf numFmtId="0" fontId="2" fillId="0" borderId="0" xfId="4" applyFont="1" applyAlignment="1">
      <alignment horizontal="center" vertical="center"/>
    </xf>
    <xf numFmtId="166" fontId="2" fillId="0" borderId="0" xfId="2" applyNumberFormat="1" applyFont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10" fontId="3" fillId="0" borderId="0" xfId="4" applyNumberFormat="1" applyAlignment="1">
      <alignment horizontal="center" vertical="center"/>
    </xf>
    <xf numFmtId="0" fontId="3" fillId="0" borderId="0" xfId="4" applyAlignment="1">
      <alignment horizontal="center" vertical="center"/>
    </xf>
    <xf numFmtId="0" fontId="1" fillId="0" borderId="0" xfId="4" applyFont="1"/>
    <xf numFmtId="166" fontId="0" fillId="0" borderId="0" xfId="2" applyNumberFormat="1" applyFont="1" applyAlignment="1">
      <alignment horizontal="center"/>
    </xf>
    <xf numFmtId="10" fontId="3" fillId="0" borderId="0" xfId="4" applyNumberFormat="1" applyAlignment="1">
      <alignment horizontal="center"/>
    </xf>
    <xf numFmtId="0" fontId="3" fillId="0" borderId="0" xfId="4" applyAlignment="1">
      <alignment horizontal="center"/>
    </xf>
    <xf numFmtId="0" fontId="3" fillId="0" borderId="0" xfId="4" applyFill="1"/>
    <xf numFmtId="0" fontId="2" fillId="0" borderId="0" xfId="4" applyFont="1" applyAlignment="1">
      <alignment horizontal="center"/>
    </xf>
    <xf numFmtId="2" fontId="3" fillId="0" borderId="0" xfId="4" applyNumberFormat="1" applyAlignment="1">
      <alignment horizontal="center"/>
    </xf>
    <xf numFmtId="10" fontId="2" fillId="0" borderId="0" xfId="2" applyNumberFormat="1" applyFont="1"/>
    <xf numFmtId="170" fontId="1" fillId="5" borderId="0" xfId="1" applyNumberFormat="1" applyFill="1" applyAlignment="1">
      <alignment horizontal="center"/>
    </xf>
    <xf numFmtId="9" fontId="0" fillId="0" borderId="0" xfId="2" applyNumberFormat="1" applyFont="1"/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9" fontId="25" fillId="0" borderId="7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8" fillId="0" borderId="0" xfId="5" applyFont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wrapText="1"/>
    </xf>
    <xf numFmtId="0" fontId="25" fillId="0" borderId="0" xfId="0" applyFont="1" applyAlignment="1">
      <alignment vertical="center" wrapText="1"/>
    </xf>
    <xf numFmtId="0" fontId="27" fillId="0" borderId="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2" fillId="0" borderId="0" xfId="4" applyFont="1" applyAlignment="1">
      <alignment horizontal="center" vertical="center" wrapText="1"/>
    </xf>
    <xf numFmtId="0" fontId="2" fillId="0" borderId="0" xfId="4" applyFont="1" applyAlignment="1">
      <alignment horizontal="center"/>
    </xf>
    <xf numFmtId="0" fontId="50" fillId="0" borderId="0" xfId="5" applyFont="1"/>
  </cellXfs>
  <cellStyles count="6">
    <cellStyle name="Hyperlink" xfId="5" builtinId="8"/>
    <cellStyle name="Normal" xfId="0" builtinId="0"/>
    <cellStyle name="Normal 2" xfId="1"/>
    <cellStyle name="Normal 3" xfId="4"/>
    <cellStyle name="Percent 2" xfId="2"/>
    <cellStyle name="Percent 3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image" Target="../media/image7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142875</xdr:colOff>
          <xdr:row>2</xdr:row>
          <xdr:rowOff>76200</xdr:rowOff>
        </xdr:from>
        <xdr:to>
          <xdr:col>9</xdr:col>
          <xdr:colOff>152400</xdr:colOff>
          <xdr:row>5</xdr:row>
          <xdr:rowOff>57150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476250</xdr:colOff>
          <xdr:row>2</xdr:row>
          <xdr:rowOff>0</xdr:rowOff>
        </xdr:from>
        <xdr:to>
          <xdr:col>12</xdr:col>
          <xdr:colOff>28575</xdr:colOff>
          <xdr:row>4</xdr:row>
          <xdr:rowOff>142875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47625</xdr:rowOff>
        </xdr:from>
        <xdr:to>
          <xdr:col>5</xdr:col>
          <xdr:colOff>361950</xdr:colOff>
          <xdr:row>5</xdr:row>
          <xdr:rowOff>28575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2</xdr:row>
          <xdr:rowOff>85725</xdr:rowOff>
        </xdr:from>
        <xdr:to>
          <xdr:col>9</xdr:col>
          <xdr:colOff>190500</xdr:colOff>
          <xdr:row>5</xdr:row>
          <xdr:rowOff>57150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514350</xdr:colOff>
          <xdr:row>2</xdr:row>
          <xdr:rowOff>9525</xdr:rowOff>
        </xdr:from>
        <xdr:to>
          <xdr:col>12</xdr:col>
          <xdr:colOff>85725</xdr:colOff>
          <xdr:row>4</xdr:row>
          <xdr:rowOff>142875</xdr:rowOff>
        </xdr:to>
        <xdr:sp macro="" textlink="">
          <xdr:nvSpPr>
            <xdr:cNvPr id="20482" name="Object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57150</xdr:rowOff>
        </xdr:from>
        <xdr:to>
          <xdr:col>5</xdr:col>
          <xdr:colOff>381000</xdr:colOff>
          <xdr:row>5</xdr:row>
          <xdr:rowOff>28575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16</xdr:row>
          <xdr:rowOff>171450</xdr:rowOff>
        </xdr:from>
        <xdr:to>
          <xdr:col>3</xdr:col>
          <xdr:colOff>552450</xdr:colOff>
          <xdr:row>18</xdr:row>
          <xdr:rowOff>161925</xdr:rowOff>
        </xdr:to>
        <xdr:sp macro="" textlink="">
          <xdr:nvSpPr>
            <xdr:cNvPr id="7175" name="Object 10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438150</xdr:colOff>
          <xdr:row>7</xdr:row>
          <xdr:rowOff>171450</xdr:rowOff>
        </xdr:from>
        <xdr:to>
          <xdr:col>5</xdr:col>
          <xdr:colOff>9525</xdr:colOff>
          <xdr:row>10</xdr:row>
          <xdr:rowOff>133350</xdr:rowOff>
        </xdr:to>
        <xdr:sp macro="" textlink="">
          <xdr:nvSpPr>
            <xdr:cNvPr id="7176" name="Object 6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409575</xdr:colOff>
          <xdr:row>10</xdr:row>
          <xdr:rowOff>85725</xdr:rowOff>
        </xdr:from>
        <xdr:to>
          <xdr:col>5</xdr:col>
          <xdr:colOff>142875</xdr:colOff>
          <xdr:row>12</xdr:row>
          <xdr:rowOff>161925</xdr:rowOff>
        </xdr:to>
        <xdr:sp macro="" textlink="">
          <xdr:nvSpPr>
            <xdr:cNvPr id="7177" name="Object 7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9</xdr:row>
          <xdr:rowOff>0</xdr:rowOff>
        </xdr:from>
        <xdr:to>
          <xdr:col>10</xdr:col>
          <xdr:colOff>28575</xdr:colOff>
          <xdr:row>10</xdr:row>
          <xdr:rowOff>142875</xdr:rowOff>
        </xdr:to>
        <xdr:sp macro="" textlink="">
          <xdr:nvSpPr>
            <xdr:cNvPr id="7178" name="Object 9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17</xdr:row>
          <xdr:rowOff>9525</xdr:rowOff>
        </xdr:from>
        <xdr:to>
          <xdr:col>3</xdr:col>
          <xdr:colOff>266700</xdr:colOff>
          <xdr:row>19</xdr:row>
          <xdr:rowOff>9525</xdr:rowOff>
        </xdr:to>
        <xdr:sp macro="" textlink="">
          <xdr:nvSpPr>
            <xdr:cNvPr id="10243" name="Object 10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276225</xdr:colOff>
          <xdr:row>8</xdr:row>
          <xdr:rowOff>9525</xdr:rowOff>
        </xdr:from>
        <xdr:to>
          <xdr:col>4</xdr:col>
          <xdr:colOff>457200</xdr:colOff>
          <xdr:row>10</xdr:row>
          <xdr:rowOff>152400</xdr:rowOff>
        </xdr:to>
        <xdr:sp macro="" textlink="">
          <xdr:nvSpPr>
            <xdr:cNvPr id="10244" name="Object 6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161925</xdr:colOff>
          <xdr:row>10</xdr:row>
          <xdr:rowOff>95250</xdr:rowOff>
        </xdr:from>
        <xdr:to>
          <xdr:col>4</xdr:col>
          <xdr:colOff>495300</xdr:colOff>
          <xdr:row>12</xdr:row>
          <xdr:rowOff>171450</xdr:rowOff>
        </xdr:to>
        <xdr:sp macro="" textlink="">
          <xdr:nvSpPr>
            <xdr:cNvPr id="10245" name="Object 7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104775</xdr:colOff>
          <xdr:row>10</xdr:row>
          <xdr:rowOff>9525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10246" name="Object 9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2</xdr:row>
          <xdr:rowOff>85725</xdr:rowOff>
        </xdr:from>
        <xdr:to>
          <xdr:col>9</xdr:col>
          <xdr:colOff>190500</xdr:colOff>
          <xdr:row>5</xdr:row>
          <xdr:rowOff>57150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514350</xdr:colOff>
          <xdr:row>2</xdr:row>
          <xdr:rowOff>9525</xdr:rowOff>
        </xdr:from>
        <xdr:to>
          <xdr:col>12</xdr:col>
          <xdr:colOff>85725</xdr:colOff>
          <xdr:row>4</xdr:row>
          <xdr:rowOff>142875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57150</xdr:rowOff>
        </xdr:from>
        <xdr:to>
          <xdr:col>5</xdr:col>
          <xdr:colOff>381000</xdr:colOff>
          <xdr:row>5</xdr:row>
          <xdr:rowOff>28575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2</xdr:row>
          <xdr:rowOff>85725</xdr:rowOff>
        </xdr:from>
        <xdr:to>
          <xdr:col>9</xdr:col>
          <xdr:colOff>190500</xdr:colOff>
          <xdr:row>5</xdr:row>
          <xdr:rowOff>57150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514350</xdr:colOff>
          <xdr:row>2</xdr:row>
          <xdr:rowOff>9525</xdr:rowOff>
        </xdr:from>
        <xdr:to>
          <xdr:col>12</xdr:col>
          <xdr:colOff>85725</xdr:colOff>
          <xdr:row>4</xdr:row>
          <xdr:rowOff>142875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57150</xdr:rowOff>
        </xdr:from>
        <xdr:to>
          <xdr:col>5</xdr:col>
          <xdr:colOff>381000</xdr:colOff>
          <xdr:row>5</xdr:row>
          <xdr:rowOff>28575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2</xdr:row>
          <xdr:rowOff>85725</xdr:rowOff>
        </xdr:from>
        <xdr:to>
          <xdr:col>9</xdr:col>
          <xdr:colOff>190500</xdr:colOff>
          <xdr:row>5</xdr:row>
          <xdr:rowOff>57150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514350</xdr:colOff>
          <xdr:row>2</xdr:row>
          <xdr:rowOff>9525</xdr:rowOff>
        </xdr:from>
        <xdr:to>
          <xdr:col>12</xdr:col>
          <xdr:colOff>85725</xdr:colOff>
          <xdr:row>4</xdr:row>
          <xdr:rowOff>142875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57150</xdr:rowOff>
        </xdr:from>
        <xdr:to>
          <xdr:col>5</xdr:col>
          <xdr:colOff>381000</xdr:colOff>
          <xdr:row>5</xdr:row>
          <xdr:rowOff>28575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2</xdr:row>
          <xdr:rowOff>85725</xdr:rowOff>
        </xdr:from>
        <xdr:to>
          <xdr:col>9</xdr:col>
          <xdr:colOff>190500</xdr:colOff>
          <xdr:row>5</xdr:row>
          <xdr:rowOff>57150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514350</xdr:colOff>
          <xdr:row>2</xdr:row>
          <xdr:rowOff>9525</xdr:rowOff>
        </xdr:from>
        <xdr:to>
          <xdr:col>12</xdr:col>
          <xdr:colOff>85725</xdr:colOff>
          <xdr:row>4</xdr:row>
          <xdr:rowOff>142875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57150</xdr:rowOff>
        </xdr:from>
        <xdr:to>
          <xdr:col>5</xdr:col>
          <xdr:colOff>381000</xdr:colOff>
          <xdr:row>5</xdr:row>
          <xdr:rowOff>28575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2</xdr:row>
          <xdr:rowOff>85725</xdr:rowOff>
        </xdr:from>
        <xdr:to>
          <xdr:col>9</xdr:col>
          <xdr:colOff>190500</xdr:colOff>
          <xdr:row>5</xdr:row>
          <xdr:rowOff>57150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514350</xdr:colOff>
          <xdr:row>2</xdr:row>
          <xdr:rowOff>9525</xdr:rowOff>
        </xdr:from>
        <xdr:to>
          <xdr:col>12</xdr:col>
          <xdr:colOff>85725</xdr:colOff>
          <xdr:row>4</xdr:row>
          <xdr:rowOff>142875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57150</xdr:rowOff>
        </xdr:from>
        <xdr:to>
          <xdr:col>5</xdr:col>
          <xdr:colOff>381000</xdr:colOff>
          <xdr:row>5</xdr:row>
          <xdr:rowOff>28575</xdr:rowOff>
        </xdr:to>
        <xdr:sp macro="" textlink="">
          <xdr:nvSpPr>
            <xdr:cNvPr id="16387" name="Object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2</xdr:row>
          <xdr:rowOff>85725</xdr:rowOff>
        </xdr:from>
        <xdr:to>
          <xdr:col>9</xdr:col>
          <xdr:colOff>190500</xdr:colOff>
          <xdr:row>5</xdr:row>
          <xdr:rowOff>57150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514350</xdr:colOff>
          <xdr:row>2</xdr:row>
          <xdr:rowOff>9525</xdr:rowOff>
        </xdr:from>
        <xdr:to>
          <xdr:col>12</xdr:col>
          <xdr:colOff>85725</xdr:colOff>
          <xdr:row>4</xdr:row>
          <xdr:rowOff>142875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57150</xdr:rowOff>
        </xdr:from>
        <xdr:to>
          <xdr:col>5</xdr:col>
          <xdr:colOff>381000</xdr:colOff>
          <xdr:row>5</xdr:row>
          <xdr:rowOff>28575</xdr:rowOff>
        </xdr:to>
        <xdr:sp macro="" textlink="">
          <xdr:nvSpPr>
            <xdr:cNvPr id="17411" name="Object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2</xdr:row>
          <xdr:rowOff>85725</xdr:rowOff>
        </xdr:from>
        <xdr:to>
          <xdr:col>9</xdr:col>
          <xdr:colOff>190500</xdr:colOff>
          <xdr:row>5</xdr:row>
          <xdr:rowOff>57150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514350</xdr:colOff>
          <xdr:row>2</xdr:row>
          <xdr:rowOff>9525</xdr:rowOff>
        </xdr:from>
        <xdr:to>
          <xdr:col>12</xdr:col>
          <xdr:colOff>85725</xdr:colOff>
          <xdr:row>4</xdr:row>
          <xdr:rowOff>142875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57150</xdr:rowOff>
        </xdr:from>
        <xdr:to>
          <xdr:col>5</xdr:col>
          <xdr:colOff>381000</xdr:colOff>
          <xdr:row>5</xdr:row>
          <xdr:rowOff>28575</xdr:rowOff>
        </xdr:to>
        <xdr:sp macro="" textlink="">
          <xdr:nvSpPr>
            <xdr:cNvPr id="18435" name="Object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2</xdr:row>
          <xdr:rowOff>85725</xdr:rowOff>
        </xdr:from>
        <xdr:to>
          <xdr:col>9</xdr:col>
          <xdr:colOff>190500</xdr:colOff>
          <xdr:row>5</xdr:row>
          <xdr:rowOff>57150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514350</xdr:colOff>
          <xdr:row>2</xdr:row>
          <xdr:rowOff>9525</xdr:rowOff>
        </xdr:from>
        <xdr:to>
          <xdr:col>12</xdr:col>
          <xdr:colOff>85725</xdr:colOff>
          <xdr:row>4</xdr:row>
          <xdr:rowOff>142875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</xdr:row>
          <xdr:rowOff>57150</xdr:rowOff>
        </xdr:from>
        <xdr:to>
          <xdr:col>5</xdr:col>
          <xdr:colOff>381000</xdr:colOff>
          <xdr:row>5</xdr:row>
          <xdr:rowOff>28575</xdr:rowOff>
        </xdr:to>
        <xdr:sp macro="" textlink="">
          <xdr:nvSpPr>
            <xdr:cNvPr id="19459" name="Object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i.org/10.1007/s10661-018-6692-5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4.bin"/><Relationship Id="rId3" Type="http://schemas.openxmlformats.org/officeDocument/2006/relationships/vmlDrawing" Target="../drawings/vmlDrawing8.vml"/><Relationship Id="rId7" Type="http://schemas.openxmlformats.org/officeDocument/2006/relationships/image" Target="../media/image2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2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2.bin"/><Relationship Id="rId9" Type="http://schemas.openxmlformats.org/officeDocument/2006/relationships/image" Target="../media/image3.w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7.bin"/><Relationship Id="rId3" Type="http://schemas.openxmlformats.org/officeDocument/2006/relationships/vmlDrawing" Target="../drawings/vmlDrawing9.vml"/><Relationship Id="rId7" Type="http://schemas.openxmlformats.org/officeDocument/2006/relationships/image" Target="../media/image2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2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5.bin"/><Relationship Id="rId9" Type="http://schemas.openxmlformats.org/officeDocument/2006/relationships/image" Target="../media/image3.w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0.bin"/><Relationship Id="rId3" Type="http://schemas.openxmlformats.org/officeDocument/2006/relationships/vmlDrawing" Target="../drawings/vmlDrawing10.vml"/><Relationship Id="rId7" Type="http://schemas.openxmlformats.org/officeDocument/2006/relationships/image" Target="../media/image2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2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8.bin"/><Relationship Id="rId9" Type="http://schemas.openxmlformats.org/officeDocument/2006/relationships/image" Target="../media/image3.w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3.bin"/><Relationship Id="rId3" Type="http://schemas.openxmlformats.org/officeDocument/2006/relationships/vmlDrawing" Target="../drawings/vmlDrawing11.vml"/><Relationship Id="rId7" Type="http://schemas.openxmlformats.org/officeDocument/2006/relationships/image" Target="../media/image5.emf"/><Relationship Id="rId12" Type="http://schemas.openxmlformats.org/officeDocument/2006/relationships/comments" Target="../comments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32.bin"/><Relationship Id="rId11" Type="http://schemas.openxmlformats.org/officeDocument/2006/relationships/image" Target="../media/image7.emf"/><Relationship Id="rId5" Type="http://schemas.openxmlformats.org/officeDocument/2006/relationships/image" Target="../media/image4.emf"/><Relationship Id="rId10" Type="http://schemas.openxmlformats.org/officeDocument/2006/relationships/oleObject" Target="../embeddings/oleObject34.bin"/><Relationship Id="rId4" Type="http://schemas.openxmlformats.org/officeDocument/2006/relationships/oleObject" Target="../embeddings/oleObject31.bin"/><Relationship Id="rId9" Type="http://schemas.openxmlformats.org/officeDocument/2006/relationships/image" Target="../media/image6.emf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7.bin"/><Relationship Id="rId3" Type="http://schemas.openxmlformats.org/officeDocument/2006/relationships/vmlDrawing" Target="../drawings/vmlDrawing12.vml"/><Relationship Id="rId7" Type="http://schemas.openxmlformats.org/officeDocument/2006/relationships/image" Target="../media/image5.emf"/><Relationship Id="rId12" Type="http://schemas.openxmlformats.org/officeDocument/2006/relationships/comments" Target="../comments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oleObject36.bin"/><Relationship Id="rId11" Type="http://schemas.openxmlformats.org/officeDocument/2006/relationships/image" Target="../media/image7.emf"/><Relationship Id="rId5" Type="http://schemas.openxmlformats.org/officeDocument/2006/relationships/image" Target="../media/image4.emf"/><Relationship Id="rId10" Type="http://schemas.openxmlformats.org/officeDocument/2006/relationships/oleObject" Target="../embeddings/oleObject38.bin"/><Relationship Id="rId4" Type="http://schemas.openxmlformats.org/officeDocument/2006/relationships/oleObject" Target="../embeddings/oleObject35.bin"/><Relationship Id="rId9" Type="http://schemas.openxmlformats.org/officeDocument/2006/relationships/image" Target="../media/image6.emf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Relationship Id="rId9" Type="http://schemas.openxmlformats.org/officeDocument/2006/relationships/image" Target="../media/image3.w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9.bin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Relationship Id="rId9" Type="http://schemas.openxmlformats.org/officeDocument/2006/relationships/image" Target="../media/image3.w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2.bin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Relationship Id="rId9" Type="http://schemas.openxmlformats.org/officeDocument/2006/relationships/image" Target="../media/image3.w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5.bin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Relationship Id="rId9" Type="http://schemas.openxmlformats.org/officeDocument/2006/relationships/image" Target="../media/image3.w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.bin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1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Relationship Id="rId9" Type="http://schemas.openxmlformats.org/officeDocument/2006/relationships/image" Target="../media/image3.w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1.bin"/><Relationship Id="rId3" Type="http://schemas.openxmlformats.org/officeDocument/2006/relationships/vmlDrawing" Target="../drawings/vmlDrawing7.vml"/><Relationship Id="rId7" Type="http://schemas.openxmlformats.org/officeDocument/2006/relationships/image" Target="../media/image2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2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.bin"/><Relationship Id="rId9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tabSelected="1" zoomScaleNormal="100" workbookViewId="0">
      <selection activeCell="B3" sqref="B3"/>
    </sheetView>
  </sheetViews>
  <sheetFormatPr defaultRowHeight="15" x14ac:dyDescent="0.25"/>
  <sheetData>
    <row r="2" spans="2:2" ht="20.25" x14ac:dyDescent="0.25">
      <c r="B2" s="102" t="s">
        <v>177</v>
      </c>
    </row>
    <row r="3" spans="2:2" ht="15.75" x14ac:dyDescent="0.25">
      <c r="B3" s="125" t="s">
        <v>216</v>
      </c>
    </row>
    <row r="4" spans="2:2" ht="15.75" x14ac:dyDescent="0.25">
      <c r="B4" s="103"/>
    </row>
    <row r="5" spans="2:2" ht="16.5" x14ac:dyDescent="0.35">
      <c r="B5" s="106" t="s">
        <v>215</v>
      </c>
    </row>
    <row r="6" spans="2:2" ht="15.6" x14ac:dyDescent="0.35">
      <c r="B6" s="103"/>
    </row>
    <row r="7" spans="2:2" ht="15.6" x14ac:dyDescent="0.35">
      <c r="B7" s="103"/>
    </row>
    <row r="8" spans="2:2" ht="18.600000000000001" x14ac:dyDescent="0.35">
      <c r="B8" s="104" t="s">
        <v>178</v>
      </c>
    </row>
    <row r="9" spans="2:2" ht="18.600000000000001" x14ac:dyDescent="0.35">
      <c r="B9" s="104" t="s">
        <v>179</v>
      </c>
    </row>
    <row r="10" spans="2:2" ht="18.600000000000001" x14ac:dyDescent="0.35">
      <c r="B10" s="104" t="s">
        <v>214</v>
      </c>
    </row>
    <row r="11" spans="2:2" ht="14.45" x14ac:dyDescent="0.35">
      <c r="B11" s="105"/>
    </row>
    <row r="12" spans="2:2" ht="14.45" x14ac:dyDescent="0.35">
      <c r="B12" s="105"/>
    </row>
    <row r="13" spans="2:2" ht="14.45" x14ac:dyDescent="0.35">
      <c r="B13" s="106" t="s">
        <v>180</v>
      </c>
    </row>
  </sheetData>
  <hyperlinks>
    <hyperlink ref="B5" location="_ftn1" display="_ftn1"/>
    <hyperlink ref="B13" location="_ftnref1" display="_ftnref1"/>
    <hyperlink ref="B3" r:id="rId1"/>
  </hyperlinks>
  <pageMargins left="0.7" right="0.7" top="0.75" bottom="0.75" header="0.3" footer="0.3"/>
  <pageSetup paperSize="9" scale="64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1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13.42578125" style="1" customWidth="1"/>
    <col min="3" max="4" width="9.140625" style="1"/>
    <col min="5" max="5" width="12.42578125" style="1" bestFit="1" customWidth="1"/>
    <col min="6" max="6" width="12.7109375" style="1" bestFit="1" customWidth="1"/>
    <col min="7" max="7" width="12.140625" style="1" bestFit="1" customWidth="1"/>
    <col min="8" max="8" width="19.28515625" style="1" customWidth="1"/>
    <col min="9" max="9" width="7" style="1" customWidth="1"/>
    <col min="10" max="10" width="10.140625" style="1" customWidth="1"/>
    <col min="11" max="22" width="9.140625" style="1"/>
    <col min="23" max="23" width="12.42578125" style="1" customWidth="1"/>
    <col min="24" max="16384" width="9.140625" style="1"/>
  </cols>
  <sheetData>
    <row r="1" spans="1:13" ht="12.95" x14ac:dyDescent="0.3">
      <c r="A1" s="5" t="s">
        <v>192</v>
      </c>
    </row>
    <row r="2" spans="1:13" ht="12.95" x14ac:dyDescent="0.3">
      <c r="A2" s="5" t="s">
        <v>190</v>
      </c>
    </row>
    <row r="4" spans="1:13" ht="12.6" customHeight="1" x14ac:dyDescent="0.3">
      <c r="A4" s="5"/>
    </row>
    <row r="5" spans="1:13" ht="12.6" x14ac:dyDescent="0.25">
      <c r="A5" s="6"/>
    </row>
    <row r="6" spans="1:13" ht="12.6" x14ac:dyDescent="0.25">
      <c r="A6" s="4"/>
    </row>
    <row r="8" spans="1:13" s="2" customFormat="1" ht="18" x14ac:dyDescent="0.4">
      <c r="A8" s="73" t="s">
        <v>120</v>
      </c>
    </row>
    <row r="9" spans="1:13" s="36" customFormat="1" ht="11.45" x14ac:dyDescent="0.25">
      <c r="A9" s="36" t="s">
        <v>60</v>
      </c>
    </row>
    <row r="10" spans="1:13" s="36" customFormat="1" ht="15" x14ac:dyDescent="0.4">
      <c r="A10" s="9" t="s">
        <v>78</v>
      </c>
      <c r="B10" s="44">
        <v>1.9832633040858201E-2</v>
      </c>
      <c r="C10" s="38" t="s">
        <v>8</v>
      </c>
      <c r="D10" s="38" t="s">
        <v>57</v>
      </c>
    </row>
    <row r="11" spans="1:13" s="36" customFormat="1" ht="14.45" customHeight="1" x14ac:dyDescent="0.4">
      <c r="A11" s="9" t="s">
        <v>79</v>
      </c>
      <c r="B11" s="44">
        <v>1.9832633040858156E-2</v>
      </c>
      <c r="C11" s="38" t="s">
        <v>8</v>
      </c>
      <c r="D11" s="38" t="s">
        <v>61</v>
      </c>
      <c r="E11" s="42"/>
    </row>
    <row r="12" spans="1:13" s="36" customFormat="1" ht="14.45" customHeight="1" x14ac:dyDescent="0.4">
      <c r="A12" s="9" t="s">
        <v>80</v>
      </c>
      <c r="B12" s="44">
        <v>5.1187980221346824E-2</v>
      </c>
      <c r="C12" s="38" t="s">
        <v>8</v>
      </c>
      <c r="D12" s="38" t="s">
        <v>58</v>
      </c>
      <c r="E12" s="38"/>
      <c r="F12" s="37"/>
      <c r="G12" s="37"/>
      <c r="K12" s="41"/>
      <c r="L12" s="41"/>
      <c r="M12" s="41"/>
    </row>
    <row r="13" spans="1:13" s="36" customFormat="1" ht="14.45" customHeight="1" x14ac:dyDescent="0.4">
      <c r="A13" s="9" t="s">
        <v>81</v>
      </c>
      <c r="B13" s="37">
        <v>3.1E-2</v>
      </c>
      <c r="C13" s="38" t="s">
        <v>8</v>
      </c>
      <c r="D13" s="55" t="s">
        <v>203</v>
      </c>
      <c r="E13" s="38"/>
      <c r="F13" s="37"/>
      <c r="G13" s="37"/>
    </row>
    <row r="14" spans="1:13" s="36" customFormat="1" ht="14.45" customHeight="1" x14ac:dyDescent="0.4">
      <c r="A14" s="9" t="s">
        <v>82</v>
      </c>
      <c r="B14" s="39">
        <v>1.461426052270281E-2</v>
      </c>
      <c r="C14" s="38" t="s">
        <v>122</v>
      </c>
      <c r="D14" s="38" t="s">
        <v>62</v>
      </c>
      <c r="E14" s="38"/>
      <c r="F14" s="37"/>
      <c r="G14" s="37"/>
    </row>
    <row r="15" spans="1:13" s="36" customFormat="1" ht="14.45" customHeight="1" x14ac:dyDescent="0.25">
      <c r="A15" s="9" t="s">
        <v>83</v>
      </c>
      <c r="B15" s="44">
        <v>-7.7609411222321581E-2</v>
      </c>
      <c r="C15" s="38" t="s">
        <v>63</v>
      </c>
      <c r="D15" s="38" t="s">
        <v>64</v>
      </c>
      <c r="E15" s="38"/>
      <c r="F15" s="37"/>
      <c r="G15" s="37"/>
    </row>
    <row r="16" spans="1:13" s="36" customFormat="1" ht="14.45" customHeight="1" x14ac:dyDescent="0.4">
      <c r="A16" s="9" t="s">
        <v>84</v>
      </c>
      <c r="B16" s="39">
        <v>3.7617436074540932E-3</v>
      </c>
      <c r="C16" s="38" t="s">
        <v>8</v>
      </c>
      <c r="D16" s="38" t="s">
        <v>107</v>
      </c>
      <c r="E16" s="38"/>
      <c r="F16" s="37"/>
      <c r="G16" s="37"/>
    </row>
    <row r="17" spans="1:21" s="36" customFormat="1" ht="14.45" customHeight="1" x14ac:dyDescent="0.4">
      <c r="A17" s="72" t="s">
        <v>123</v>
      </c>
      <c r="B17" s="39">
        <v>8.9586279390695481E-4</v>
      </c>
      <c r="C17" s="38" t="s">
        <v>8</v>
      </c>
      <c r="D17" s="38" t="s">
        <v>124</v>
      </c>
      <c r="E17" s="37"/>
      <c r="F17" s="37"/>
      <c r="G17" s="37"/>
    </row>
    <row r="18" spans="1:21" s="36" customFormat="1" ht="14.45" customHeight="1" x14ac:dyDescent="0.25">
      <c r="A18" s="37"/>
      <c r="B18" s="37"/>
      <c r="C18" s="37"/>
      <c r="D18" s="37"/>
      <c r="E18" s="37"/>
      <c r="F18" s="37"/>
      <c r="G18" s="37"/>
    </row>
    <row r="19" spans="1:21" ht="12.95" x14ac:dyDescent="0.3">
      <c r="A19" s="2" t="s">
        <v>3</v>
      </c>
    </row>
    <row r="20" spans="1:21" ht="12.95" x14ac:dyDescent="0.3">
      <c r="A20" s="2"/>
      <c r="B20" s="2" t="s">
        <v>4</v>
      </c>
      <c r="C20" s="2" t="s">
        <v>5</v>
      </c>
      <c r="D20" s="2" t="s">
        <v>6</v>
      </c>
    </row>
    <row r="21" spans="1:21" ht="12.95" x14ac:dyDescent="0.3">
      <c r="A21" s="2" t="s">
        <v>7</v>
      </c>
      <c r="B21" s="8"/>
      <c r="C21" s="2"/>
      <c r="D21" s="2"/>
    </row>
    <row r="22" spans="1:21" ht="15" x14ac:dyDescent="0.4">
      <c r="A22" s="9" t="s">
        <v>86</v>
      </c>
      <c r="B22" s="10">
        <v>0</v>
      </c>
      <c r="C22" s="4" t="s">
        <v>8</v>
      </c>
      <c r="D22" s="4" t="s">
        <v>9</v>
      </c>
      <c r="L22" s="4" t="s">
        <v>200</v>
      </c>
    </row>
    <row r="23" spans="1:21" ht="15" x14ac:dyDescent="0.4">
      <c r="A23" s="9" t="s">
        <v>87</v>
      </c>
      <c r="B23" s="10">
        <v>8.98</v>
      </c>
      <c r="C23" s="4" t="s">
        <v>8</v>
      </c>
      <c r="D23" s="4" t="s">
        <v>10</v>
      </c>
      <c r="L23" s="4" t="s">
        <v>12</v>
      </c>
      <c r="M23" s="1">
        <v>8.0000000000000002E-3</v>
      </c>
    </row>
    <row r="24" spans="1:21" ht="15" x14ac:dyDescent="0.4">
      <c r="A24" s="9" t="s">
        <v>88</v>
      </c>
      <c r="B24" s="8">
        <v>0</v>
      </c>
      <c r="C24" s="4" t="s">
        <v>8</v>
      </c>
      <c r="D24" s="4" t="s">
        <v>72</v>
      </c>
      <c r="L24" s="4" t="s">
        <v>15</v>
      </c>
      <c r="M24" s="1">
        <v>-0.16919999999999999</v>
      </c>
      <c r="O24" s="45"/>
      <c r="P24" s="45"/>
      <c r="Q24" s="35"/>
      <c r="R24" s="35"/>
      <c r="S24" s="35"/>
      <c r="T24" s="35"/>
      <c r="U24" s="35"/>
    </row>
    <row r="25" spans="1:21" ht="15" x14ac:dyDescent="0.25">
      <c r="A25" s="9" t="s">
        <v>89</v>
      </c>
      <c r="B25" s="11">
        <f>(EXP(-139.3441+157570.1/(B26+273.15)+(-66423080/(B26+273.15)^2)+(12438000000/(B26+273.15)^3)+(-862194900000/(B26+273.15)^4)))*(B27-101325*(EXP((((-216961*(1/(B26+273.15)))-3840.7)*(1/(B26+273.15))+11.8571))))/(101325-101325*(EXP((((-216961*(1/(B26+273.15)))-3840.7)*(1/(B26+273.15))+11.8571))))</f>
        <v>8.9792439550701673</v>
      </c>
      <c r="C25" s="4" t="s">
        <v>8</v>
      </c>
      <c r="D25" s="4" t="s">
        <v>198</v>
      </c>
      <c r="L25" s="4" t="s">
        <v>17</v>
      </c>
      <c r="M25" s="1">
        <v>25.385100000000001</v>
      </c>
      <c r="O25" s="4" t="s">
        <v>75</v>
      </c>
      <c r="Q25" s="35"/>
      <c r="R25" s="35"/>
      <c r="S25" s="35"/>
      <c r="T25" s="35"/>
      <c r="U25" s="35"/>
    </row>
    <row r="26" spans="1:21" ht="15.75" x14ac:dyDescent="0.3">
      <c r="A26" s="8" t="s">
        <v>90</v>
      </c>
      <c r="B26" s="10">
        <v>19.908999999999999</v>
      </c>
      <c r="C26" s="4" t="s">
        <v>13</v>
      </c>
      <c r="D26" s="4" t="s">
        <v>14</v>
      </c>
      <c r="L26" s="4" t="s">
        <v>19</v>
      </c>
      <c r="M26" s="1">
        <v>14.094099999999999</v>
      </c>
      <c r="O26" s="1">
        <f>42.914*1.25608904610271</f>
        <v>53.903805324451703</v>
      </c>
      <c r="P26" s="1" t="s">
        <v>11</v>
      </c>
    </row>
    <row r="27" spans="1:21" ht="15.95" x14ac:dyDescent="0.4">
      <c r="A27" s="8" t="s">
        <v>91</v>
      </c>
      <c r="B27" s="12">
        <v>99915</v>
      </c>
      <c r="C27" s="4" t="s">
        <v>1</v>
      </c>
      <c r="D27" s="4" t="s">
        <v>16</v>
      </c>
      <c r="L27" s="4" t="s">
        <v>21</v>
      </c>
      <c r="M27" s="1">
        <v>-7.0260999999999996</v>
      </c>
      <c r="O27" s="35" t="s">
        <v>76</v>
      </c>
      <c r="P27" s="35"/>
    </row>
    <row r="28" spans="1:21" ht="15.75" x14ac:dyDescent="0.3">
      <c r="A28" s="8" t="s">
        <v>92</v>
      </c>
      <c r="B28" s="10">
        <v>19.899999999999999</v>
      </c>
      <c r="C28" s="4" t="s">
        <v>13</v>
      </c>
      <c r="D28" s="4" t="s">
        <v>18</v>
      </c>
      <c r="L28" s="4" t="s">
        <v>22</v>
      </c>
      <c r="M28" s="1">
        <v>2.7081</v>
      </c>
      <c r="O28" s="56" t="s">
        <v>73</v>
      </c>
      <c r="P28" s="35" t="s">
        <v>56</v>
      </c>
    </row>
    <row r="29" spans="1:21" ht="15.75" x14ac:dyDescent="0.3">
      <c r="A29" s="8" t="s">
        <v>93</v>
      </c>
      <c r="B29" s="10">
        <v>100100</v>
      </c>
      <c r="C29" s="4" t="s">
        <v>1</v>
      </c>
      <c r="D29" s="4" t="s">
        <v>20</v>
      </c>
      <c r="L29" s="4" t="s">
        <v>24</v>
      </c>
      <c r="M29" s="1">
        <v>5.0000000000000001E-4</v>
      </c>
      <c r="O29" s="56" t="s">
        <v>201</v>
      </c>
      <c r="P29" s="35" t="s">
        <v>74</v>
      </c>
    </row>
    <row r="30" spans="1:21" ht="12.6" x14ac:dyDescent="0.25">
      <c r="A30" s="46"/>
      <c r="B30" s="47"/>
      <c r="C30" s="6"/>
      <c r="D30" s="48"/>
      <c r="L30" s="4" t="s">
        <v>26</v>
      </c>
      <c r="M30" s="1">
        <v>-5.5999999999999999E-3</v>
      </c>
    </row>
    <row r="31" spans="1:21" ht="12.95" x14ac:dyDescent="0.3">
      <c r="A31" s="2" t="s">
        <v>23</v>
      </c>
      <c r="B31" s="2"/>
      <c r="C31" s="2"/>
      <c r="D31" s="2"/>
      <c r="F31" s="4" t="s">
        <v>55</v>
      </c>
      <c r="L31" s="4" t="s">
        <v>29</v>
      </c>
      <c r="M31" s="1">
        <v>-6.6E-3</v>
      </c>
    </row>
    <row r="32" spans="1:21" ht="15" x14ac:dyDescent="0.4">
      <c r="A32" s="9" t="s">
        <v>94</v>
      </c>
      <c r="B32" s="13">
        <v>7.75</v>
      </c>
      <c r="C32" s="4" t="s">
        <v>8</v>
      </c>
      <c r="D32" s="4" t="s">
        <v>25</v>
      </c>
      <c r="E32" s="2"/>
      <c r="L32" s="4" t="s">
        <v>31</v>
      </c>
      <c r="M32" s="1">
        <v>-3.7499999999999999E-2</v>
      </c>
    </row>
    <row r="33" spans="1:14" ht="12.6" x14ac:dyDescent="0.25">
      <c r="A33" s="58" t="s">
        <v>27</v>
      </c>
      <c r="B33" s="14">
        <v>0.89600000000000002</v>
      </c>
      <c r="C33" s="4" t="s">
        <v>11</v>
      </c>
      <c r="D33" s="4" t="s">
        <v>28</v>
      </c>
      <c r="L33" s="4" t="s">
        <v>33</v>
      </c>
      <c r="M33" s="1">
        <v>6.3600000000000004E-2</v>
      </c>
    </row>
    <row r="34" spans="1:14" ht="12.95" x14ac:dyDescent="0.3">
      <c r="A34" s="8" t="s">
        <v>0</v>
      </c>
      <c r="B34" s="74">
        <f>M23+M24*(B33/O26)^0.5+M25*(B33/O26)+M26*(B33/O26)^1.5+M27*(B33/O26)^2+M28*(B33/O26)^2.5+((10/(1+0.0162*10))*(M29+M30*(B33/O26)^0.5+M31*(B33/O26)+M32*(B33/O26)^1.5+M33*(B33/O26)^2+M34*(B33/O26)^2.5))-(M23/(1+1.5*M35*(B33/O26)+(400*(B33/O26))^2))-(M29*(10/(1+0.0162*10))/(1+(M36*(B33/O26))^0.5+(M36*(B33/O26))^1.5))</f>
        <v>0.43198626965423387</v>
      </c>
      <c r="C34" s="4" t="s">
        <v>30</v>
      </c>
      <c r="D34" s="4" t="s">
        <v>199</v>
      </c>
      <c r="L34" s="4" t="s">
        <v>34</v>
      </c>
      <c r="M34" s="1">
        <v>-1.44E-2</v>
      </c>
    </row>
    <row r="35" spans="1:14" ht="15.75" x14ac:dyDescent="0.3">
      <c r="A35" s="8" t="s">
        <v>95</v>
      </c>
      <c r="B35" s="13">
        <v>6.9</v>
      </c>
      <c r="C35" s="4" t="s">
        <v>13</v>
      </c>
      <c r="D35" s="4" t="s">
        <v>32</v>
      </c>
      <c r="L35" s="4" t="s">
        <v>37</v>
      </c>
      <c r="M35" s="1">
        <v>400</v>
      </c>
      <c r="N35" s="4" t="s">
        <v>38</v>
      </c>
    </row>
    <row r="36" spans="1:14" ht="14.25" x14ac:dyDescent="0.25">
      <c r="A36" s="9" t="s">
        <v>96</v>
      </c>
      <c r="B36" s="13">
        <v>50</v>
      </c>
      <c r="C36" s="4" t="s">
        <v>59</v>
      </c>
      <c r="D36" s="4" t="s">
        <v>66</v>
      </c>
      <c r="L36" s="4" t="s">
        <v>39</v>
      </c>
      <c r="M36" s="1">
        <v>100</v>
      </c>
      <c r="N36" s="4" t="s">
        <v>38</v>
      </c>
    </row>
    <row r="37" spans="1:14" x14ac:dyDescent="0.2">
      <c r="A37" s="9" t="s">
        <v>35</v>
      </c>
      <c r="B37" s="13">
        <v>2</v>
      </c>
      <c r="C37" s="4"/>
      <c r="D37" s="4" t="s">
        <v>36</v>
      </c>
    </row>
    <row r="38" spans="1:14" x14ac:dyDescent="0.2">
      <c r="A38" s="9"/>
      <c r="B38" s="15"/>
      <c r="C38" s="4"/>
      <c r="D38" s="4"/>
    </row>
    <row r="39" spans="1:14" ht="13.5" thickBot="1" x14ac:dyDescent="0.25">
      <c r="A39" s="9"/>
      <c r="C39" s="4"/>
      <c r="D39" s="4"/>
    </row>
    <row r="40" spans="1:14" ht="13.5" thickBot="1" x14ac:dyDescent="0.25">
      <c r="A40" s="117" t="s">
        <v>40</v>
      </c>
      <c r="B40" s="118"/>
      <c r="C40" s="118"/>
      <c r="D40" s="118"/>
      <c r="E40" s="119"/>
      <c r="F40" s="117" t="s">
        <v>41</v>
      </c>
      <c r="G40" s="118"/>
      <c r="H40" s="118"/>
      <c r="I40" s="118"/>
      <c r="J40" s="118"/>
      <c r="K40" s="119"/>
      <c r="L40" s="49"/>
      <c r="M40" s="49"/>
      <c r="N40" s="49"/>
    </row>
    <row r="41" spans="1:14" ht="15" thickBot="1" x14ac:dyDescent="0.3">
      <c r="A41" s="17" t="s">
        <v>42</v>
      </c>
      <c r="B41" s="18" t="s">
        <v>4</v>
      </c>
      <c r="C41" s="19" t="s">
        <v>5</v>
      </c>
      <c r="D41" s="20" t="s">
        <v>43</v>
      </c>
      <c r="E41" s="21" t="s">
        <v>44</v>
      </c>
      <c r="F41" s="120" t="s">
        <v>45</v>
      </c>
      <c r="G41" s="121"/>
      <c r="H41" s="121"/>
      <c r="I41" s="120" t="s">
        <v>46</v>
      </c>
      <c r="J41" s="121"/>
      <c r="K41" s="122"/>
      <c r="L41" s="49"/>
      <c r="M41" s="49"/>
      <c r="N41" s="49"/>
    </row>
    <row r="42" spans="1:14" ht="14.25" x14ac:dyDescent="0.25">
      <c r="A42" s="9" t="s">
        <v>86</v>
      </c>
      <c r="B42" s="22">
        <f>B22</f>
        <v>0</v>
      </c>
      <c r="C42" s="23" t="s">
        <v>8</v>
      </c>
      <c r="D42" s="24">
        <f>SQRT(SUMSQ(F42,I42,L42))</f>
        <v>2.0041623354076683E-2</v>
      </c>
      <c r="E42" s="25"/>
      <c r="F42" s="4">
        <f>0.005/SQRT(3)</f>
        <v>2.886751345948129E-3</v>
      </c>
      <c r="G42" s="9" t="s">
        <v>101</v>
      </c>
      <c r="H42" s="4" t="s">
        <v>47</v>
      </c>
      <c r="I42" s="40">
        <f>B11</f>
        <v>1.9832633040858156E-2</v>
      </c>
      <c r="J42" s="9" t="s">
        <v>78</v>
      </c>
      <c r="K42" s="4" t="s">
        <v>67</v>
      </c>
      <c r="L42" s="22"/>
      <c r="M42" s="22"/>
      <c r="N42" s="22"/>
    </row>
    <row r="43" spans="1:14" ht="14.25" x14ac:dyDescent="0.25">
      <c r="A43" s="9" t="s">
        <v>87</v>
      </c>
      <c r="B43" s="22">
        <f>B23</f>
        <v>8.98</v>
      </c>
      <c r="C43" s="23" t="s">
        <v>8</v>
      </c>
      <c r="D43" s="24">
        <f t="shared" ref="D43:D50" si="0">SQRT(SUMSQ(F43,I43,L43))</f>
        <v>2.0041623354076728E-2</v>
      </c>
      <c r="E43" s="25">
        <f>D43/B43</f>
        <v>2.2318066095853815E-3</v>
      </c>
      <c r="F43" s="4">
        <f>0.005/SQRT(3)</f>
        <v>2.886751345948129E-3</v>
      </c>
      <c r="G43" s="9" t="s">
        <v>102</v>
      </c>
      <c r="H43" s="4" t="s">
        <v>47</v>
      </c>
      <c r="I43" s="40">
        <f>B10</f>
        <v>1.9832633040858201E-2</v>
      </c>
      <c r="J43" s="9" t="s">
        <v>79</v>
      </c>
      <c r="K43" s="4" t="s">
        <v>67</v>
      </c>
      <c r="L43" s="22"/>
      <c r="M43" s="22"/>
      <c r="N43" s="22"/>
    </row>
    <row r="44" spans="1:14" ht="14.25" x14ac:dyDescent="0.25">
      <c r="A44" s="9" t="s">
        <v>88</v>
      </c>
      <c r="B44" s="22">
        <f>B24</f>
        <v>0</v>
      </c>
      <c r="C44" s="23" t="s">
        <v>8</v>
      </c>
      <c r="D44" s="24">
        <f t="shared" si="0"/>
        <v>5.773502691896258E-3</v>
      </c>
      <c r="E44" s="25"/>
      <c r="F44" s="1">
        <f>0.01/SQRT(3)</f>
        <v>5.773502691896258E-3</v>
      </c>
      <c r="G44" s="9" t="s">
        <v>103</v>
      </c>
      <c r="H44" s="57" t="s">
        <v>48</v>
      </c>
      <c r="I44" s="22"/>
      <c r="J44" s="22"/>
      <c r="K44" s="22"/>
      <c r="L44" s="22"/>
      <c r="M44" s="22"/>
      <c r="N44" s="22"/>
    </row>
    <row r="45" spans="1:14" ht="14.25" x14ac:dyDescent="0.25">
      <c r="A45" s="9" t="s">
        <v>89</v>
      </c>
      <c r="B45" s="26">
        <f>B25</f>
        <v>8.9792439550701673</v>
      </c>
      <c r="C45" s="23" t="s">
        <v>8</v>
      </c>
      <c r="D45" s="24">
        <f t="shared" si="0"/>
        <v>3.1E-2</v>
      </c>
      <c r="E45" s="25">
        <f>D45/B45</f>
        <v>3.4524064782197749E-3</v>
      </c>
      <c r="F45" s="22">
        <f>B13</f>
        <v>3.1E-2</v>
      </c>
      <c r="G45" s="9" t="s">
        <v>81</v>
      </c>
      <c r="H45" s="57" t="s">
        <v>202</v>
      </c>
      <c r="I45" s="22"/>
      <c r="J45" s="22"/>
      <c r="K45" s="22"/>
      <c r="L45" s="22"/>
      <c r="M45" s="22"/>
      <c r="N45" s="22"/>
    </row>
    <row r="46" spans="1:14" ht="14.25" x14ac:dyDescent="0.25">
      <c r="A46" s="9" t="s">
        <v>94</v>
      </c>
      <c r="B46" s="26">
        <f>B32</f>
        <v>7.75</v>
      </c>
      <c r="C46" s="23" t="s">
        <v>8</v>
      </c>
      <c r="D46" s="24">
        <f>SQRT(SUMSQ(F46,I46,L46))</f>
        <v>5.1269314921055138E-2</v>
      </c>
      <c r="E46" s="25">
        <f>D46/B46</f>
        <v>6.6153954736845339E-3</v>
      </c>
      <c r="F46" s="4">
        <f>0.005/SQRT(3)</f>
        <v>2.886751345948129E-3</v>
      </c>
      <c r="G46" s="9" t="s">
        <v>104</v>
      </c>
      <c r="H46" s="4" t="s">
        <v>47</v>
      </c>
      <c r="I46" s="40">
        <f>B12</f>
        <v>5.1187980221346824E-2</v>
      </c>
      <c r="J46" s="50" t="s">
        <v>80</v>
      </c>
      <c r="K46" s="4" t="s">
        <v>109</v>
      </c>
      <c r="L46" s="4"/>
      <c r="M46" s="4"/>
      <c r="N46" s="4"/>
    </row>
    <row r="47" spans="1:14" ht="15.75" x14ac:dyDescent="0.3">
      <c r="A47" s="59" t="s">
        <v>49</v>
      </c>
      <c r="B47" s="15">
        <f>(EXP(-139.3441+157570.1/(B35+273.15)+(-66423080/(B35+273.15)^2)+(12438000000/(B35+273.15)^3)+(-862194900000/(B35+273.15)^4)))*($B$27-101325*(EXP((((-216961*(1/(B35+273.15)))-3840.7)*(1/(B35+273.15))+11.8571))))/(101325-101325*(EXP((((-216961*(1/(B35+273.15)))-3840.7)*(1/(B35+273.15))+11.8571))))/((EXP(-139.3441+157570.1/(B35+273.15)+(-66423080/(B35+273.15)^2)+(12438000000/(B35+273.15)^3)+(-862194900000/(B35+273.15)^4)))*($B$27-101325*(EXP((((-216961*(1/(B35+273.15)))-3840.7)*(1/(B35+273.15))+11.8571))))/(101325-101325*(EXP((((-216961*(1/(B35+273.15)))-3840.7)*(1/(B35+273.15))+11.8571))))*EXP(-B34*(0.017674-10.754/(B35+273.15)+2140.7/((B35+273.15)^2))))</f>
        <v>1.0028416665610895</v>
      </c>
      <c r="C47" s="23" t="s">
        <v>50</v>
      </c>
      <c r="D47" s="24">
        <f>SQRT(SUMSQ(F47,I47,L47))</f>
        <v>8.2031847699609876E-4</v>
      </c>
      <c r="E47" s="25">
        <f>D47/B47</f>
        <v>8.1799401076852632E-4</v>
      </c>
      <c r="F47" s="4">
        <f>(B47-1)*0.5/SQRT(3)</f>
        <v>8.2031847699609876E-4</v>
      </c>
      <c r="G47" s="28" t="s">
        <v>69</v>
      </c>
      <c r="H47" s="4"/>
      <c r="I47" s="4"/>
      <c r="J47" s="4"/>
      <c r="K47" s="4"/>
      <c r="L47" s="4"/>
      <c r="M47" s="4"/>
      <c r="N47" s="4"/>
    </row>
    <row r="48" spans="1:14" ht="15.75" x14ac:dyDescent="0.3">
      <c r="A48" s="9" t="s">
        <v>97</v>
      </c>
      <c r="B48" s="27">
        <v>0</v>
      </c>
      <c r="C48" s="23" t="s">
        <v>8</v>
      </c>
      <c r="D48" s="24">
        <f t="shared" si="0"/>
        <v>3.2695495581310428E-2</v>
      </c>
      <c r="E48" s="25"/>
      <c r="F48" s="4">
        <f>B14*B36*B32/100/SQRT(3)</f>
        <v>3.2695495581310428E-2</v>
      </c>
      <c r="G48" s="28" t="s">
        <v>105</v>
      </c>
      <c r="H48" s="4"/>
      <c r="I48" s="4"/>
      <c r="J48" s="4"/>
      <c r="K48" s="4"/>
      <c r="L48" s="4"/>
      <c r="M48" s="4"/>
      <c r="N48" s="4"/>
    </row>
    <row r="49" spans="1:16" ht="15.75" x14ac:dyDescent="0.3">
      <c r="A49" s="9" t="s">
        <v>98</v>
      </c>
      <c r="B49" s="27">
        <v>0</v>
      </c>
      <c r="C49" s="23" t="s">
        <v>8</v>
      </c>
      <c r="D49" s="24">
        <f t="shared" si="0"/>
        <v>4.514387306931214E-2</v>
      </c>
      <c r="E49" s="25"/>
      <c r="F49" s="4">
        <f>(B35-B28)*B15/100*B32/SQRT(3)</f>
        <v>4.514387306931214E-2</v>
      </c>
      <c r="G49" s="28" t="s">
        <v>106</v>
      </c>
      <c r="H49" s="4"/>
      <c r="I49" s="4"/>
      <c r="J49" s="4"/>
      <c r="K49" s="4"/>
      <c r="L49" s="4"/>
      <c r="M49" s="4"/>
      <c r="N49" s="4"/>
    </row>
    <row r="50" spans="1:16" ht="15.75" x14ac:dyDescent="0.3">
      <c r="A50" s="9" t="s">
        <v>99</v>
      </c>
      <c r="B50" s="27">
        <v>0</v>
      </c>
      <c r="C50" s="23" t="s">
        <v>8</v>
      </c>
      <c r="D50" s="24">
        <f t="shared" si="0"/>
        <v>5.3781406192102517E-3</v>
      </c>
      <c r="E50" s="25"/>
      <c r="F50" s="4">
        <f>(ABS(B16)+B17)*B37/SQRT(3)</f>
        <v>5.3781406192102517E-3</v>
      </c>
      <c r="G50" s="28" t="s">
        <v>127</v>
      </c>
      <c r="H50" s="4"/>
      <c r="I50" s="4"/>
      <c r="J50" s="4"/>
      <c r="K50" s="4"/>
      <c r="L50" s="4"/>
      <c r="M50" s="4"/>
      <c r="N50" s="4"/>
    </row>
    <row r="51" spans="1:16" x14ac:dyDescent="0.2">
      <c r="A51" s="9"/>
      <c r="B51" s="27"/>
      <c r="C51" s="23"/>
      <c r="D51" s="24"/>
      <c r="E51" s="25"/>
      <c r="G51" s="28"/>
    </row>
    <row r="52" spans="1:16" x14ac:dyDescent="0.2">
      <c r="A52" s="9"/>
      <c r="C52" s="23"/>
      <c r="D52" s="24"/>
      <c r="E52" s="29"/>
      <c r="G52" s="28"/>
    </row>
    <row r="53" spans="1:16" x14ac:dyDescent="0.2">
      <c r="A53" s="9"/>
      <c r="B53" s="27"/>
      <c r="C53" s="23"/>
      <c r="D53" s="24"/>
      <c r="E53" s="29"/>
      <c r="G53" s="28"/>
    </row>
    <row r="54" spans="1:16" ht="15" thickBot="1" x14ac:dyDescent="0.3">
      <c r="A54" s="17" t="s">
        <v>42</v>
      </c>
      <c r="B54" s="18" t="s">
        <v>4</v>
      </c>
      <c r="C54" s="19" t="s">
        <v>5</v>
      </c>
      <c r="D54" s="20" t="s">
        <v>43</v>
      </c>
      <c r="G54" s="9" t="s">
        <v>86</v>
      </c>
      <c r="H54" s="9" t="s">
        <v>87</v>
      </c>
      <c r="I54" s="9" t="s">
        <v>88</v>
      </c>
      <c r="J54" s="9" t="s">
        <v>89</v>
      </c>
      <c r="K54" s="9" t="s">
        <v>94</v>
      </c>
      <c r="L54" s="59" t="s">
        <v>49</v>
      </c>
      <c r="M54" s="9" t="s">
        <v>97</v>
      </c>
      <c r="N54" s="9" t="s">
        <v>98</v>
      </c>
      <c r="O54" s="9" t="s">
        <v>99</v>
      </c>
      <c r="P54" s="9"/>
    </row>
    <row r="55" spans="1:16" ht="14.25" x14ac:dyDescent="0.25">
      <c r="A55" s="9" t="s">
        <v>86</v>
      </c>
      <c r="B55" s="22">
        <f>B42</f>
        <v>0</v>
      </c>
      <c r="C55" s="23" t="s">
        <v>8</v>
      </c>
      <c r="D55" s="24">
        <f>D42</f>
        <v>2.0041623354076683E-2</v>
      </c>
      <c r="G55" s="30">
        <f>$B55+$D55</f>
        <v>2.0041623354076683E-2</v>
      </c>
      <c r="H55" s="1">
        <f t="shared" ref="H55:O55" si="1">$B55</f>
        <v>0</v>
      </c>
      <c r="I55" s="1">
        <f t="shared" si="1"/>
        <v>0</v>
      </c>
      <c r="J55" s="1">
        <f t="shared" si="1"/>
        <v>0</v>
      </c>
      <c r="K55" s="1">
        <f t="shared" si="1"/>
        <v>0</v>
      </c>
      <c r="L55" s="1">
        <f t="shared" si="1"/>
        <v>0</v>
      </c>
      <c r="M55" s="1">
        <f t="shared" si="1"/>
        <v>0</v>
      </c>
      <c r="N55" s="1">
        <f t="shared" si="1"/>
        <v>0</v>
      </c>
      <c r="O55" s="1">
        <f t="shared" si="1"/>
        <v>0</v>
      </c>
      <c r="P55" s="16"/>
    </row>
    <row r="56" spans="1:16" ht="14.25" x14ac:dyDescent="0.25">
      <c r="A56" s="9" t="s">
        <v>87</v>
      </c>
      <c r="B56" s="22">
        <f t="shared" ref="B56:B63" si="2">B43</f>
        <v>8.98</v>
      </c>
      <c r="C56" s="23" t="s">
        <v>8</v>
      </c>
      <c r="D56" s="24">
        <f t="shared" ref="D56:D63" si="3">D43</f>
        <v>2.0041623354076728E-2</v>
      </c>
      <c r="G56" s="1">
        <f t="shared" ref="G56:O63" si="4">$B56</f>
        <v>8.98</v>
      </c>
      <c r="H56" s="30">
        <f>$B56+$D56</f>
        <v>9.0000416233540772</v>
      </c>
      <c r="I56" s="1">
        <f t="shared" si="4"/>
        <v>8.98</v>
      </c>
      <c r="J56" s="1">
        <f t="shared" si="4"/>
        <v>8.98</v>
      </c>
      <c r="K56" s="1">
        <f t="shared" si="4"/>
        <v>8.98</v>
      </c>
      <c r="L56" s="1">
        <f t="shared" si="4"/>
        <v>8.98</v>
      </c>
      <c r="M56" s="1">
        <f t="shared" si="4"/>
        <v>8.98</v>
      </c>
      <c r="N56" s="1">
        <f t="shared" si="4"/>
        <v>8.98</v>
      </c>
      <c r="O56" s="1">
        <f t="shared" si="4"/>
        <v>8.98</v>
      </c>
      <c r="P56" s="16"/>
    </row>
    <row r="57" spans="1:16" ht="14.25" x14ac:dyDescent="0.25">
      <c r="A57" s="9" t="s">
        <v>88</v>
      </c>
      <c r="B57" s="22">
        <f t="shared" si="2"/>
        <v>0</v>
      </c>
      <c r="C57" s="23" t="s">
        <v>8</v>
      </c>
      <c r="D57" s="24">
        <f t="shared" si="3"/>
        <v>5.773502691896258E-3</v>
      </c>
      <c r="G57" s="1">
        <f t="shared" si="4"/>
        <v>0</v>
      </c>
      <c r="H57" s="1">
        <f t="shared" si="4"/>
        <v>0</v>
      </c>
      <c r="I57" s="30">
        <f>$B57+$D57</f>
        <v>5.773502691896258E-3</v>
      </c>
      <c r="J57" s="1">
        <f t="shared" si="4"/>
        <v>0</v>
      </c>
      <c r="K57" s="1">
        <f t="shared" si="4"/>
        <v>0</v>
      </c>
      <c r="L57" s="1">
        <f t="shared" si="4"/>
        <v>0</v>
      </c>
      <c r="M57" s="1">
        <f t="shared" si="4"/>
        <v>0</v>
      </c>
      <c r="N57" s="1">
        <f t="shared" si="4"/>
        <v>0</v>
      </c>
      <c r="O57" s="1">
        <f t="shared" si="4"/>
        <v>0</v>
      </c>
      <c r="P57" s="16"/>
    </row>
    <row r="58" spans="1:16" ht="14.25" x14ac:dyDescent="0.25">
      <c r="A58" s="9" t="s">
        <v>89</v>
      </c>
      <c r="B58" s="22">
        <f t="shared" si="2"/>
        <v>8.9792439550701673</v>
      </c>
      <c r="C58" s="23" t="s">
        <v>8</v>
      </c>
      <c r="D58" s="24">
        <f t="shared" si="3"/>
        <v>3.1E-2</v>
      </c>
      <c r="G58" s="1">
        <f t="shared" si="4"/>
        <v>8.9792439550701673</v>
      </c>
      <c r="H58" s="1">
        <f t="shared" si="4"/>
        <v>8.9792439550701673</v>
      </c>
      <c r="I58" s="1">
        <f t="shared" si="4"/>
        <v>8.9792439550701673</v>
      </c>
      <c r="J58" s="30">
        <f>$B58+$D58</f>
        <v>9.0102439550701678</v>
      </c>
      <c r="K58" s="1">
        <f t="shared" si="4"/>
        <v>8.9792439550701673</v>
      </c>
      <c r="L58" s="1">
        <f t="shared" si="4"/>
        <v>8.9792439550701673</v>
      </c>
      <c r="M58" s="1">
        <f t="shared" si="4"/>
        <v>8.9792439550701673</v>
      </c>
      <c r="N58" s="1">
        <f t="shared" si="4"/>
        <v>8.9792439550701673</v>
      </c>
      <c r="O58" s="1">
        <f t="shared" si="4"/>
        <v>8.9792439550701673</v>
      </c>
      <c r="P58" s="16"/>
    </row>
    <row r="59" spans="1:16" ht="14.25" x14ac:dyDescent="0.25">
      <c r="A59" s="9" t="s">
        <v>94</v>
      </c>
      <c r="B59" s="22">
        <f t="shared" si="2"/>
        <v>7.75</v>
      </c>
      <c r="C59" s="23" t="s">
        <v>8</v>
      </c>
      <c r="D59" s="24">
        <f t="shared" si="3"/>
        <v>5.1269314921055138E-2</v>
      </c>
      <c r="E59" s="6"/>
      <c r="G59" s="1">
        <f t="shared" si="4"/>
        <v>7.75</v>
      </c>
      <c r="H59" s="1">
        <f t="shared" si="4"/>
        <v>7.75</v>
      </c>
      <c r="I59" s="1">
        <f t="shared" si="4"/>
        <v>7.75</v>
      </c>
      <c r="J59" s="1">
        <f t="shared" si="4"/>
        <v>7.75</v>
      </c>
      <c r="K59" s="30">
        <f>$B59+$D59</f>
        <v>7.801269314921055</v>
      </c>
      <c r="L59" s="1">
        <f t="shared" si="4"/>
        <v>7.75</v>
      </c>
      <c r="M59" s="1">
        <f t="shared" si="4"/>
        <v>7.75</v>
      </c>
      <c r="N59" s="1">
        <f t="shared" si="4"/>
        <v>7.75</v>
      </c>
      <c r="O59" s="1">
        <f t="shared" si="4"/>
        <v>7.75</v>
      </c>
      <c r="P59" s="16"/>
    </row>
    <row r="60" spans="1:16" x14ac:dyDescent="0.2">
      <c r="A60" s="59" t="s">
        <v>49</v>
      </c>
      <c r="B60" s="22">
        <f t="shared" si="2"/>
        <v>1.0028416665610895</v>
      </c>
      <c r="C60" s="23" t="s">
        <v>50</v>
      </c>
      <c r="D60" s="24">
        <f t="shared" si="3"/>
        <v>8.2031847699609876E-4</v>
      </c>
      <c r="G60" s="1">
        <f t="shared" si="4"/>
        <v>1.0028416665610895</v>
      </c>
      <c r="H60" s="1">
        <f t="shared" si="4"/>
        <v>1.0028416665610895</v>
      </c>
      <c r="I60" s="1">
        <f t="shared" si="4"/>
        <v>1.0028416665610895</v>
      </c>
      <c r="J60" s="1">
        <f t="shared" si="4"/>
        <v>1.0028416665610895</v>
      </c>
      <c r="K60" s="1">
        <f t="shared" si="4"/>
        <v>1.0028416665610895</v>
      </c>
      <c r="L60" s="30">
        <f>$B60+$D60</f>
        <v>1.0036619850380857</v>
      </c>
      <c r="M60" s="1">
        <f t="shared" si="4"/>
        <v>1.0028416665610895</v>
      </c>
      <c r="N60" s="1">
        <f t="shared" si="4"/>
        <v>1.0028416665610895</v>
      </c>
      <c r="O60" s="1">
        <f t="shared" si="4"/>
        <v>1.0028416665610895</v>
      </c>
      <c r="P60" s="16"/>
    </row>
    <row r="61" spans="1:16" ht="14.25" x14ac:dyDescent="0.25">
      <c r="A61" s="9" t="s">
        <v>97</v>
      </c>
      <c r="B61" s="22">
        <f t="shared" si="2"/>
        <v>0</v>
      </c>
      <c r="C61" s="23" t="s">
        <v>8</v>
      </c>
      <c r="D61" s="24">
        <f t="shared" si="3"/>
        <v>3.2695495581310428E-2</v>
      </c>
      <c r="G61" s="1">
        <f t="shared" si="4"/>
        <v>0</v>
      </c>
      <c r="H61" s="1">
        <f t="shared" si="4"/>
        <v>0</v>
      </c>
      <c r="I61" s="1">
        <f t="shared" si="4"/>
        <v>0</v>
      </c>
      <c r="J61" s="1">
        <f t="shared" si="4"/>
        <v>0</v>
      </c>
      <c r="K61" s="1">
        <f t="shared" si="4"/>
        <v>0</v>
      </c>
      <c r="L61" s="1">
        <f t="shared" si="4"/>
        <v>0</v>
      </c>
      <c r="M61" s="30">
        <f>$B61+$D61</f>
        <v>3.2695495581310428E-2</v>
      </c>
      <c r="N61" s="1">
        <f t="shared" si="4"/>
        <v>0</v>
      </c>
      <c r="O61" s="1">
        <f t="shared" si="4"/>
        <v>0</v>
      </c>
      <c r="P61" s="16"/>
    </row>
    <row r="62" spans="1:16" ht="14.25" x14ac:dyDescent="0.25">
      <c r="A62" s="9" t="s">
        <v>98</v>
      </c>
      <c r="B62" s="22">
        <f t="shared" si="2"/>
        <v>0</v>
      </c>
      <c r="C62" s="23" t="s">
        <v>8</v>
      </c>
      <c r="D62" s="24">
        <f t="shared" si="3"/>
        <v>4.514387306931214E-2</v>
      </c>
      <c r="G62" s="1">
        <f t="shared" si="4"/>
        <v>0</v>
      </c>
      <c r="H62" s="1">
        <f t="shared" si="4"/>
        <v>0</v>
      </c>
      <c r="I62" s="1">
        <f t="shared" si="4"/>
        <v>0</v>
      </c>
      <c r="J62" s="1">
        <f t="shared" si="4"/>
        <v>0</v>
      </c>
      <c r="K62" s="1">
        <f t="shared" si="4"/>
        <v>0</v>
      </c>
      <c r="L62" s="1">
        <f t="shared" si="4"/>
        <v>0</v>
      </c>
      <c r="M62" s="1">
        <f t="shared" si="4"/>
        <v>0</v>
      </c>
      <c r="N62" s="30">
        <f>$B62+$D62</f>
        <v>4.514387306931214E-2</v>
      </c>
      <c r="O62" s="1">
        <f t="shared" si="4"/>
        <v>0</v>
      </c>
      <c r="P62" s="16"/>
    </row>
    <row r="63" spans="1:16" ht="14.25" x14ac:dyDescent="0.25">
      <c r="A63" s="9" t="s">
        <v>99</v>
      </c>
      <c r="B63" s="22">
        <f t="shared" si="2"/>
        <v>0</v>
      </c>
      <c r="C63" s="23" t="s">
        <v>8</v>
      </c>
      <c r="D63" s="24">
        <f t="shared" si="3"/>
        <v>5.3781406192102517E-3</v>
      </c>
      <c r="G63" s="1">
        <f t="shared" si="4"/>
        <v>0</v>
      </c>
      <c r="H63" s="1">
        <f t="shared" si="4"/>
        <v>0</v>
      </c>
      <c r="I63" s="1">
        <f t="shared" si="4"/>
        <v>0</v>
      </c>
      <c r="J63" s="1">
        <f t="shared" si="4"/>
        <v>0</v>
      </c>
      <c r="K63" s="1">
        <f t="shared" si="4"/>
        <v>0</v>
      </c>
      <c r="L63" s="1">
        <f t="shared" si="4"/>
        <v>0</v>
      </c>
      <c r="M63" s="1">
        <f t="shared" si="4"/>
        <v>0</v>
      </c>
      <c r="N63" s="1">
        <f t="shared" si="4"/>
        <v>0</v>
      </c>
      <c r="O63" s="30">
        <f>$B63+$D63</f>
        <v>5.3781406192102517E-3</v>
      </c>
      <c r="P63" s="16"/>
    </row>
    <row r="64" spans="1:16" x14ac:dyDescent="0.2">
      <c r="A64" s="9"/>
      <c r="B64" s="22"/>
      <c r="C64" s="23"/>
      <c r="D64" s="24"/>
      <c r="P64" s="16"/>
    </row>
    <row r="65" spans="1:16" x14ac:dyDescent="0.2">
      <c r="P65" s="16"/>
    </row>
    <row r="66" spans="1:16" ht="15.75" x14ac:dyDescent="0.3">
      <c r="A66" s="4" t="s">
        <v>51</v>
      </c>
      <c r="B66" s="31">
        <f>(B59+B61+B62+B63)/B60/((B56-B55)/(B58-B57))-((B55*B58-B57*B56)/(B58-B57))/((B56-B55)/(B58-B57))</f>
        <v>7.727388848839329</v>
      </c>
      <c r="C66" s="23" t="s">
        <v>8</v>
      </c>
      <c r="E66" s="51"/>
      <c r="F66" s="51"/>
      <c r="G66" s="31">
        <f>(G59+G61+G62+G63)/G60/((G56-G55)/(G58-G57))-((G55*G58-G57*G56)/(G58-G57))/((G56-G55)/(G58-G57))</f>
        <v>7.7245887009504335</v>
      </c>
      <c r="H66" s="31">
        <f t="shared" ref="H66:O66" si="5">(H59+H61+H62+H63)/H60/((H56-H55)/(H58-H57))-((H55*H58-H57*H56)/(H58-H57))/((H56-H55)/(H58-H57))</f>
        <v>7.7101812154416054</v>
      </c>
      <c r="I66" s="31">
        <f t="shared" si="5"/>
        <v>7.7281937705968673</v>
      </c>
      <c r="J66" s="31">
        <f t="shared" si="5"/>
        <v>7.7540669361607852</v>
      </c>
      <c r="K66" s="31">
        <f t="shared" si="5"/>
        <v>7.7785085820533402</v>
      </c>
      <c r="L66" s="31">
        <f t="shared" si="5"/>
        <v>7.7210730573217328</v>
      </c>
      <c r="M66" s="31">
        <f t="shared" si="5"/>
        <v>7.7599889530925283</v>
      </c>
      <c r="N66" s="31">
        <f t="shared" si="5"/>
        <v>7.7724010115940674</v>
      </c>
      <c r="O66" s="31">
        <f t="shared" si="5"/>
        <v>7.732751298368151</v>
      </c>
      <c r="P66" s="16"/>
    </row>
    <row r="67" spans="1:16" ht="15.75" x14ac:dyDescent="0.3">
      <c r="A67" s="4" t="s">
        <v>52</v>
      </c>
      <c r="B67" s="32">
        <f>SQRT(O69)</f>
        <v>8.2383527006375801E-2</v>
      </c>
      <c r="C67" s="4" t="s">
        <v>8</v>
      </c>
      <c r="G67" s="1">
        <f>G66-$B$66</f>
        <v>-2.8001478888954878E-3</v>
      </c>
      <c r="H67" s="1">
        <f t="shared" ref="H67:O67" si="6">H66-$B$66</f>
        <v>-1.7207633397723576E-2</v>
      </c>
      <c r="I67" s="1">
        <f t="shared" si="6"/>
        <v>8.0492175753832385E-4</v>
      </c>
      <c r="J67" s="1">
        <f t="shared" si="6"/>
        <v>2.6678087321456267E-2</v>
      </c>
      <c r="K67" s="1">
        <f t="shared" si="6"/>
        <v>5.1119733214011198E-2</v>
      </c>
      <c r="L67" s="1">
        <f t="shared" si="6"/>
        <v>-6.3157915175962032E-3</v>
      </c>
      <c r="M67" s="1">
        <f t="shared" si="6"/>
        <v>3.2600104253199369E-2</v>
      </c>
      <c r="N67" s="1">
        <f t="shared" si="6"/>
        <v>4.5012162754738405E-2</v>
      </c>
      <c r="O67" s="1">
        <f t="shared" si="6"/>
        <v>5.3624495288220331E-3</v>
      </c>
      <c r="P67" s="16"/>
    </row>
    <row r="68" spans="1:16" ht="15.75" x14ac:dyDescent="0.3">
      <c r="A68" s="33" t="s">
        <v>53</v>
      </c>
      <c r="B68" s="34">
        <f>B67*2</f>
        <v>0.1647670540127516</v>
      </c>
      <c r="C68" s="33" t="s">
        <v>54</v>
      </c>
      <c r="G68" s="1">
        <f>G67^2</f>
        <v>7.8408281996858568E-6</v>
      </c>
      <c r="H68" s="1">
        <f t="shared" ref="H68:O68" si="7">H67^2</f>
        <v>2.9610264715045184E-4</v>
      </c>
      <c r="I68" s="1">
        <f t="shared" si="7"/>
        <v>6.4789903575858425E-7</v>
      </c>
      <c r="J68" s="1">
        <f t="shared" si="7"/>
        <v>7.1172034313124564E-4</v>
      </c>
      <c r="K68" s="1">
        <f t="shared" si="7"/>
        <v>2.6132271238716795E-3</v>
      </c>
      <c r="L68" s="1">
        <f t="shared" si="7"/>
        <v>3.9889222493740151E-5</v>
      </c>
      <c r="M68" s="1">
        <f t="shared" si="7"/>
        <v>1.0627667973194675E-3</v>
      </c>
      <c r="N68" s="1">
        <f t="shared" si="7"/>
        <v>2.0260947958590592E-3</v>
      </c>
      <c r="O68" s="1">
        <f t="shared" si="7"/>
        <v>2.8755864949163645E-5</v>
      </c>
      <c r="P68" s="16"/>
    </row>
    <row r="69" spans="1:16" ht="15.75" x14ac:dyDescent="0.3">
      <c r="A69" s="33" t="s">
        <v>70</v>
      </c>
      <c r="B69" s="53">
        <f>B68/B66*100</f>
        <v>2.132247480175661</v>
      </c>
      <c r="C69" s="33" t="s">
        <v>71</v>
      </c>
      <c r="O69" s="1">
        <f>SUM(G68:O68)</f>
        <v>6.7870455220102512E-3</v>
      </c>
      <c r="P69" s="16"/>
    </row>
    <row r="70" spans="1:16" ht="15" x14ac:dyDescent="0.25">
      <c r="B70" s="4"/>
      <c r="E70" s="4" t="s">
        <v>55</v>
      </c>
      <c r="G70" s="89">
        <f t="shared" ref="G70:O70" si="8">G68/$O$69</f>
        <v>1.1552638293434469E-3</v>
      </c>
      <c r="H70" s="89">
        <f t="shared" si="8"/>
        <v>4.362762061786634E-2</v>
      </c>
      <c r="I70" s="89">
        <f t="shared" si="8"/>
        <v>9.5461130127602771E-5</v>
      </c>
      <c r="J70" s="89">
        <f t="shared" si="8"/>
        <v>0.10486453064491036</v>
      </c>
      <c r="K70" s="89">
        <f t="shared" si="8"/>
        <v>0.38503161875031439</v>
      </c>
      <c r="L70" s="89">
        <f t="shared" si="8"/>
        <v>5.8772587224264535E-3</v>
      </c>
      <c r="M70" s="89">
        <f t="shared" si="8"/>
        <v>0.15658754518043769</v>
      </c>
      <c r="N70" s="89">
        <f t="shared" si="8"/>
        <v>0.29852382591047533</v>
      </c>
      <c r="O70" s="89">
        <f t="shared" si="8"/>
        <v>4.236875214098529E-3</v>
      </c>
      <c r="P70" s="54"/>
    </row>
    <row r="71" spans="1:16" x14ac:dyDescent="0.2">
      <c r="O71" s="52">
        <f>SUM(G70:O70)</f>
        <v>1.0000000000000002</v>
      </c>
      <c r="P71" s="16"/>
    </row>
  </sheetData>
  <mergeCells count="4">
    <mergeCell ref="A40:E40"/>
    <mergeCell ref="F40:K40"/>
    <mergeCell ref="F41:H41"/>
    <mergeCell ref="I41:K41"/>
  </mergeCells>
  <pageMargins left="0.7" right="0.7" top="0.75" bottom="0.75" header="0.3" footer="0.3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8433" r:id="rId4">
          <objectPr defaultSize="0" autoPict="0" r:id="rId5">
            <anchor moveWithCells="1" sizeWithCells="1">
              <from>
                <xdr:col>6</xdr:col>
                <xdr:colOff>161925</xdr:colOff>
                <xdr:row>2</xdr:row>
                <xdr:rowOff>85725</xdr:rowOff>
              </from>
              <to>
                <xdr:col>9</xdr:col>
                <xdr:colOff>190500</xdr:colOff>
                <xdr:row>5</xdr:row>
                <xdr:rowOff>57150</xdr:rowOff>
              </to>
            </anchor>
          </objectPr>
        </oleObject>
      </mc:Choice>
      <mc:Fallback>
        <oleObject progId="Equation.3" shapeId="18433" r:id="rId4"/>
      </mc:Fallback>
    </mc:AlternateContent>
    <mc:AlternateContent xmlns:mc="http://schemas.openxmlformats.org/markup-compatibility/2006">
      <mc:Choice Requires="x14">
        <oleObject progId="Equation.3" shapeId="18434" r:id="rId6">
          <objectPr defaultSize="0" autoPict="0" r:id="rId7">
            <anchor moveWithCells="1" sizeWithCells="1">
              <from>
                <xdr:col>9</xdr:col>
                <xdr:colOff>514350</xdr:colOff>
                <xdr:row>2</xdr:row>
                <xdr:rowOff>9525</xdr:rowOff>
              </from>
              <to>
                <xdr:col>12</xdr:col>
                <xdr:colOff>85725</xdr:colOff>
                <xdr:row>4</xdr:row>
                <xdr:rowOff>142875</xdr:rowOff>
              </to>
            </anchor>
          </objectPr>
        </oleObject>
      </mc:Choice>
      <mc:Fallback>
        <oleObject progId="Equation.3" shapeId="18434" r:id="rId6"/>
      </mc:Fallback>
    </mc:AlternateContent>
    <mc:AlternateContent xmlns:mc="http://schemas.openxmlformats.org/markup-compatibility/2006">
      <mc:Choice Requires="x14">
        <oleObject progId="Equation.3" shapeId="18435" r:id="rId8">
          <objectPr defaultSize="0" autoPict="0" r:id="rId9">
            <anchor moveWithCells="1" sizeWithCells="1">
              <from>
                <xdr:col>0</xdr:col>
                <xdr:colOff>533400</xdr:colOff>
                <xdr:row>2</xdr:row>
                <xdr:rowOff>57150</xdr:rowOff>
              </from>
              <to>
                <xdr:col>5</xdr:col>
                <xdr:colOff>381000</xdr:colOff>
                <xdr:row>5</xdr:row>
                <xdr:rowOff>28575</xdr:rowOff>
              </to>
            </anchor>
          </objectPr>
        </oleObject>
      </mc:Choice>
      <mc:Fallback>
        <oleObject progId="Equation.3" shapeId="18435" r:id="rId8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2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13.42578125" style="1" customWidth="1"/>
    <col min="3" max="3" width="9.140625" style="1"/>
    <col min="4" max="4" width="9.42578125" style="1" bestFit="1" customWidth="1"/>
    <col min="5" max="5" width="12.42578125" style="1" bestFit="1" customWidth="1"/>
    <col min="6" max="6" width="12.7109375" style="1" bestFit="1" customWidth="1"/>
    <col min="7" max="7" width="12.140625" style="1" bestFit="1" customWidth="1"/>
    <col min="8" max="22" width="9.140625" style="1"/>
    <col min="23" max="23" width="12.140625" style="1" customWidth="1"/>
    <col min="24" max="16384" width="9.140625" style="1"/>
  </cols>
  <sheetData>
    <row r="1" spans="1:13" ht="12.95" x14ac:dyDescent="0.3">
      <c r="A1" s="5" t="s">
        <v>194</v>
      </c>
    </row>
    <row r="2" spans="1:13" x14ac:dyDescent="0.2">
      <c r="A2" s="5" t="s">
        <v>193</v>
      </c>
    </row>
    <row r="4" spans="1:13" ht="12.6" customHeight="1" x14ac:dyDescent="0.3">
      <c r="A4" s="5"/>
    </row>
    <row r="5" spans="1:13" ht="12.6" x14ac:dyDescent="0.25">
      <c r="A5" s="6"/>
    </row>
    <row r="6" spans="1:13" ht="12.6" x14ac:dyDescent="0.25">
      <c r="A6" s="4"/>
    </row>
    <row r="8" spans="1:13" s="2" customFormat="1" ht="18" x14ac:dyDescent="0.4">
      <c r="A8" s="7" t="s">
        <v>2</v>
      </c>
    </row>
    <row r="9" spans="1:13" s="36" customFormat="1" ht="11.45" x14ac:dyDescent="0.25">
      <c r="A9" s="36" t="s">
        <v>60</v>
      </c>
    </row>
    <row r="10" spans="1:13" s="36" customFormat="1" ht="14.45" customHeight="1" x14ac:dyDescent="0.4">
      <c r="A10" s="9" t="s">
        <v>78</v>
      </c>
      <c r="B10" s="39">
        <v>3.9025485336470337E-3</v>
      </c>
      <c r="C10" s="38" t="s">
        <v>8</v>
      </c>
      <c r="D10" s="38" t="s">
        <v>57</v>
      </c>
      <c r="E10" s="42"/>
    </row>
    <row r="11" spans="1:13" s="36" customFormat="1" ht="14.45" customHeight="1" x14ac:dyDescent="0.4">
      <c r="A11" s="9" t="s">
        <v>79</v>
      </c>
      <c r="B11" s="39">
        <v>4.913036844405071E-3</v>
      </c>
      <c r="C11" s="38" t="s">
        <v>8</v>
      </c>
      <c r="D11" s="38" t="s">
        <v>61</v>
      </c>
      <c r="E11" s="42"/>
    </row>
    <row r="12" spans="1:13" s="36" customFormat="1" ht="14.45" customHeight="1" x14ac:dyDescent="0.4">
      <c r="A12" s="9" t="s">
        <v>80</v>
      </c>
      <c r="B12" s="39">
        <v>6.8643950719533137E-2</v>
      </c>
      <c r="C12" s="38" t="s">
        <v>8</v>
      </c>
      <c r="D12" s="38" t="s">
        <v>58</v>
      </c>
      <c r="E12" s="38"/>
      <c r="F12" s="37"/>
      <c r="G12" s="37"/>
      <c r="K12" s="41"/>
      <c r="L12" s="41"/>
      <c r="M12" s="41"/>
    </row>
    <row r="13" spans="1:13" s="36" customFormat="1" ht="14.45" customHeight="1" x14ac:dyDescent="0.4">
      <c r="A13" s="9" t="s">
        <v>81</v>
      </c>
      <c r="B13" s="37">
        <v>3.1E-2</v>
      </c>
      <c r="C13" s="38" t="s">
        <v>8</v>
      </c>
      <c r="D13" s="55" t="s">
        <v>203</v>
      </c>
      <c r="E13" s="38"/>
      <c r="F13" s="37"/>
      <c r="G13" s="37"/>
    </row>
    <row r="14" spans="1:13" s="36" customFormat="1" ht="14.45" customHeight="1" x14ac:dyDescent="0.4">
      <c r="A14" s="9" t="s">
        <v>82</v>
      </c>
      <c r="B14" s="43">
        <v>-9.4244609374349484E-4</v>
      </c>
      <c r="C14" s="38" t="s">
        <v>122</v>
      </c>
      <c r="D14" s="38" t="s">
        <v>62</v>
      </c>
      <c r="E14" s="38"/>
      <c r="F14" s="37"/>
      <c r="G14" s="37"/>
    </row>
    <row r="15" spans="1:13" s="36" customFormat="1" ht="14.45" customHeight="1" x14ac:dyDescent="0.25">
      <c r="A15" s="9" t="s">
        <v>83</v>
      </c>
      <c r="B15" s="44">
        <v>2.436875013221735E-2</v>
      </c>
      <c r="C15" s="38" t="s">
        <v>63</v>
      </c>
      <c r="D15" s="38" t="s">
        <v>64</v>
      </c>
      <c r="E15" s="38"/>
      <c r="F15" s="37"/>
      <c r="G15" s="37"/>
    </row>
    <row r="16" spans="1:13" s="36" customFormat="1" ht="14.45" customHeight="1" x14ac:dyDescent="0.4">
      <c r="A16" s="72" t="s">
        <v>125</v>
      </c>
      <c r="B16" s="39">
        <v>-7.8995010564227898E-3</v>
      </c>
      <c r="C16" s="38" t="s">
        <v>8</v>
      </c>
      <c r="D16" s="38" t="s">
        <v>126</v>
      </c>
      <c r="E16" s="38"/>
      <c r="F16" s="37"/>
      <c r="G16" s="37"/>
    </row>
    <row r="17" spans="1:21" s="36" customFormat="1" ht="14.45" customHeight="1" x14ac:dyDescent="0.4">
      <c r="A17" s="72" t="s">
        <v>123</v>
      </c>
      <c r="B17" s="39">
        <v>8.493146873257047E-4</v>
      </c>
      <c r="C17" s="38" t="s">
        <v>8</v>
      </c>
      <c r="D17" s="38" t="s">
        <v>124</v>
      </c>
      <c r="E17" s="38"/>
      <c r="F17" s="37"/>
      <c r="G17" s="37"/>
    </row>
    <row r="18" spans="1:21" s="36" customFormat="1" ht="14.45" customHeight="1" x14ac:dyDescent="0.4">
      <c r="A18" s="9" t="s">
        <v>85</v>
      </c>
      <c r="B18" s="39">
        <v>2.7664860087933483E-2</v>
      </c>
      <c r="C18" s="38" t="s">
        <v>50</v>
      </c>
      <c r="D18" s="38" t="s">
        <v>65</v>
      </c>
      <c r="E18" s="37"/>
      <c r="F18" s="37"/>
      <c r="G18" s="37"/>
    </row>
    <row r="19" spans="1:21" s="36" customFormat="1" ht="14.45" customHeight="1" x14ac:dyDescent="0.25">
      <c r="A19" s="37"/>
      <c r="B19" s="37"/>
      <c r="C19" s="37"/>
      <c r="D19" s="37"/>
      <c r="E19" s="37"/>
      <c r="F19" s="37"/>
      <c r="G19" s="37"/>
    </row>
    <row r="20" spans="1:21" ht="12.95" x14ac:dyDescent="0.3">
      <c r="A20" s="2" t="s">
        <v>3</v>
      </c>
    </row>
    <row r="21" spans="1:21" ht="12.95" x14ac:dyDescent="0.3">
      <c r="A21" s="2"/>
      <c r="B21" s="2" t="s">
        <v>4</v>
      </c>
      <c r="C21" s="2" t="s">
        <v>5</v>
      </c>
      <c r="D21" s="2" t="s">
        <v>6</v>
      </c>
    </row>
    <row r="22" spans="1:21" ht="12.95" x14ac:dyDescent="0.3">
      <c r="A22" s="2" t="s">
        <v>7</v>
      </c>
      <c r="B22" s="8"/>
      <c r="C22" s="2"/>
      <c r="D22" s="2"/>
    </row>
    <row r="23" spans="1:21" ht="15" x14ac:dyDescent="0.4">
      <c r="A23" s="9" t="s">
        <v>86</v>
      </c>
      <c r="B23" s="10">
        <v>0</v>
      </c>
      <c r="C23" s="4" t="s">
        <v>8</v>
      </c>
      <c r="D23" s="4" t="s">
        <v>9</v>
      </c>
    </row>
    <row r="24" spans="1:21" ht="15" x14ac:dyDescent="0.4">
      <c r="A24" s="9" t="s">
        <v>87</v>
      </c>
      <c r="B24" s="10">
        <v>9.0299999999999994</v>
      </c>
      <c r="C24" s="4" t="s">
        <v>8</v>
      </c>
      <c r="D24" s="4" t="s">
        <v>10</v>
      </c>
      <c r="L24" s="4" t="s">
        <v>200</v>
      </c>
    </row>
    <row r="25" spans="1:21" ht="15" x14ac:dyDescent="0.4">
      <c r="A25" s="9" t="s">
        <v>88</v>
      </c>
      <c r="B25" s="8">
        <v>0</v>
      </c>
      <c r="C25" s="4" t="s">
        <v>8</v>
      </c>
      <c r="D25" s="4" t="s">
        <v>72</v>
      </c>
      <c r="L25" s="4" t="s">
        <v>12</v>
      </c>
      <c r="M25" s="1">
        <v>8.0000000000000002E-3</v>
      </c>
      <c r="Q25" s="35"/>
      <c r="R25" s="35"/>
      <c r="S25" s="35"/>
      <c r="T25" s="35"/>
      <c r="U25" s="35"/>
    </row>
    <row r="26" spans="1:21" ht="15" x14ac:dyDescent="0.25">
      <c r="A26" s="9" t="s">
        <v>89</v>
      </c>
      <c r="B26" s="11">
        <f>(EXP(-139.3441+157570.1/(B27+273.15)+(-66423080/(B27+273.15)^2)+(12438000000/(B27+273.15)^3)+(-862194900000/(B27+273.15)^4)))*(B28-101325*(EXP((((-216961*(1/(B27+273.15)))-3840.7)*(1/(B27+273.15))+11.8571))))/(101325-101325*(EXP((((-216961*(1/(B27+273.15)))-3840.7)*(1/(B27+273.15))+11.8571))))</f>
        <v>8.9792439550701673</v>
      </c>
      <c r="C26" s="4" t="s">
        <v>8</v>
      </c>
      <c r="D26" s="4" t="s">
        <v>198</v>
      </c>
      <c r="L26" s="4" t="s">
        <v>15</v>
      </c>
      <c r="M26" s="1">
        <v>-0.16919999999999999</v>
      </c>
      <c r="O26" s="4" t="s">
        <v>75</v>
      </c>
      <c r="Q26" s="35"/>
      <c r="R26" s="35"/>
      <c r="S26" s="35"/>
      <c r="T26" s="35"/>
      <c r="U26" s="35"/>
    </row>
    <row r="27" spans="1:21" ht="15.75" x14ac:dyDescent="0.3">
      <c r="A27" s="8" t="s">
        <v>90</v>
      </c>
      <c r="B27" s="10">
        <v>19.908999999999999</v>
      </c>
      <c r="C27" s="4" t="s">
        <v>13</v>
      </c>
      <c r="D27" s="4" t="s">
        <v>14</v>
      </c>
      <c r="L27" s="4" t="s">
        <v>17</v>
      </c>
      <c r="M27" s="1">
        <v>25.385100000000001</v>
      </c>
      <c r="O27" s="1">
        <f>42.914*1.25608904610271</f>
        <v>53.903805324451703</v>
      </c>
      <c r="P27" s="1" t="s">
        <v>11</v>
      </c>
    </row>
    <row r="28" spans="1:21" ht="15.95" x14ac:dyDescent="0.4">
      <c r="A28" s="8" t="s">
        <v>91</v>
      </c>
      <c r="B28" s="12">
        <v>99915</v>
      </c>
      <c r="C28" s="4" t="s">
        <v>1</v>
      </c>
      <c r="D28" s="4" t="s">
        <v>16</v>
      </c>
      <c r="L28" s="4" t="s">
        <v>19</v>
      </c>
      <c r="M28" s="1">
        <v>14.094099999999999</v>
      </c>
      <c r="O28" s="35" t="s">
        <v>76</v>
      </c>
      <c r="P28" s="35"/>
    </row>
    <row r="29" spans="1:21" ht="15.75" x14ac:dyDescent="0.3">
      <c r="A29" s="8" t="s">
        <v>92</v>
      </c>
      <c r="B29" s="10">
        <v>20.100000000000001</v>
      </c>
      <c r="C29" s="4" t="s">
        <v>13</v>
      </c>
      <c r="D29" s="4" t="s">
        <v>18</v>
      </c>
      <c r="L29" s="4" t="s">
        <v>21</v>
      </c>
      <c r="M29" s="1">
        <v>-7.0260999999999996</v>
      </c>
      <c r="O29" s="56" t="s">
        <v>73</v>
      </c>
      <c r="P29" s="35" t="s">
        <v>56</v>
      </c>
    </row>
    <row r="30" spans="1:21" ht="15.75" x14ac:dyDescent="0.3">
      <c r="A30" s="8" t="s">
        <v>93</v>
      </c>
      <c r="B30" s="10">
        <v>100100</v>
      </c>
      <c r="C30" s="4" t="s">
        <v>1</v>
      </c>
      <c r="D30" s="4" t="s">
        <v>20</v>
      </c>
      <c r="L30" s="4" t="s">
        <v>22</v>
      </c>
      <c r="M30" s="1">
        <v>2.7081</v>
      </c>
      <c r="O30" s="56" t="s">
        <v>201</v>
      </c>
      <c r="P30" s="35" t="s">
        <v>74</v>
      </c>
    </row>
    <row r="31" spans="1:21" ht="12.6" x14ac:dyDescent="0.25">
      <c r="A31" s="46"/>
      <c r="B31" s="47"/>
      <c r="C31" s="6"/>
      <c r="D31" s="48"/>
      <c r="L31" s="4" t="s">
        <v>24</v>
      </c>
      <c r="M31" s="1">
        <v>5.0000000000000001E-4</v>
      </c>
    </row>
    <row r="32" spans="1:21" ht="12.95" x14ac:dyDescent="0.3">
      <c r="A32" s="2" t="s">
        <v>23</v>
      </c>
      <c r="B32" s="2"/>
      <c r="C32" s="2"/>
      <c r="D32" s="2"/>
      <c r="F32" s="4" t="s">
        <v>55</v>
      </c>
      <c r="L32" s="4" t="s">
        <v>26</v>
      </c>
      <c r="M32" s="1">
        <v>-5.5999999999999999E-3</v>
      </c>
    </row>
    <row r="33" spans="1:14" ht="15" x14ac:dyDescent="0.4">
      <c r="A33" s="9" t="s">
        <v>94</v>
      </c>
      <c r="B33" s="13">
        <v>11.12</v>
      </c>
      <c r="C33" s="4" t="s">
        <v>8</v>
      </c>
      <c r="D33" s="4" t="s">
        <v>25</v>
      </c>
      <c r="E33" s="2"/>
      <c r="L33" s="4" t="s">
        <v>29</v>
      </c>
      <c r="M33" s="1">
        <v>-6.6E-3</v>
      </c>
    </row>
    <row r="34" spans="1:14" ht="12.6" x14ac:dyDescent="0.25">
      <c r="A34" s="58" t="s">
        <v>27</v>
      </c>
      <c r="B34" s="14">
        <v>3.1</v>
      </c>
      <c r="C34" s="4" t="s">
        <v>11</v>
      </c>
      <c r="D34" s="4" t="s">
        <v>28</v>
      </c>
      <c r="L34" s="4" t="s">
        <v>31</v>
      </c>
      <c r="M34" s="1">
        <v>-3.7499999999999999E-2</v>
      </c>
    </row>
    <row r="35" spans="1:14" ht="12.95" x14ac:dyDescent="0.3">
      <c r="A35" s="8" t="s">
        <v>0</v>
      </c>
      <c r="B35" s="74">
        <f>M25+M26*(B34/O27)^0.5+M27*(B34/O27)+M28*(B34/O27)^1.5+M29*(B34/O27)^2+M30*(B34/O27)^2.5+((10/(1+0.0162*10))*(M31+M32*(B34/O27)^0.5+M33*(B34/O27)+M34*(B34/O27)^1.5+M35*(B34/O27)^2+M36*(B34/O27)^2.5))-(M25/(1+1.5*M37*(B34/O27)+(400*(B34/O27))^2))-(M31*(10/(1+0.0162*10))/(1+(M38*(B34/O27))^0.5+(M38*(B34/O27))^1.5))</f>
        <v>1.5870826400793137</v>
      </c>
      <c r="C35" s="4" t="s">
        <v>30</v>
      </c>
      <c r="D35" s="4" t="s">
        <v>199</v>
      </c>
      <c r="L35" s="4" t="s">
        <v>33</v>
      </c>
      <c r="M35" s="1">
        <v>6.3600000000000004E-2</v>
      </c>
    </row>
    <row r="36" spans="1:14" ht="15.75" x14ac:dyDescent="0.3">
      <c r="A36" s="8" t="s">
        <v>95</v>
      </c>
      <c r="B36" s="13">
        <v>18.399999999999999</v>
      </c>
      <c r="C36" s="4" t="s">
        <v>13</v>
      </c>
      <c r="D36" s="4" t="s">
        <v>32</v>
      </c>
      <c r="L36" s="4" t="s">
        <v>34</v>
      </c>
      <c r="M36" s="1">
        <v>-1.44E-2</v>
      </c>
    </row>
    <row r="37" spans="1:14" ht="14.25" x14ac:dyDescent="0.25">
      <c r="A37" s="9" t="s">
        <v>96</v>
      </c>
      <c r="B37" s="13">
        <v>50</v>
      </c>
      <c r="C37" s="4" t="s">
        <v>59</v>
      </c>
      <c r="D37" s="4" t="s">
        <v>66</v>
      </c>
      <c r="L37" s="4" t="s">
        <v>37</v>
      </c>
      <c r="M37" s="1">
        <v>400</v>
      </c>
      <c r="N37" s="4" t="s">
        <v>38</v>
      </c>
    </row>
    <row r="38" spans="1:14" x14ac:dyDescent="0.2">
      <c r="A38" s="9" t="s">
        <v>35</v>
      </c>
      <c r="B38" s="13">
        <v>3</v>
      </c>
      <c r="C38" s="4"/>
      <c r="D38" s="4" t="s">
        <v>36</v>
      </c>
      <c r="L38" s="4" t="s">
        <v>39</v>
      </c>
      <c r="M38" s="1">
        <v>100</v>
      </c>
      <c r="N38" s="4" t="s">
        <v>38</v>
      </c>
    </row>
    <row r="39" spans="1:14" x14ac:dyDescent="0.2">
      <c r="A39" s="9"/>
      <c r="B39" s="15"/>
      <c r="C39" s="4"/>
      <c r="D39" s="4"/>
    </row>
    <row r="40" spans="1:14" ht="13.5" thickBot="1" x14ac:dyDescent="0.25">
      <c r="A40" s="9"/>
      <c r="C40" s="4"/>
      <c r="D40" s="4"/>
    </row>
    <row r="41" spans="1:14" ht="13.5" thickBot="1" x14ac:dyDescent="0.25">
      <c r="A41" s="117" t="s">
        <v>40</v>
      </c>
      <c r="B41" s="118"/>
      <c r="C41" s="118"/>
      <c r="D41" s="118"/>
      <c r="E41" s="119"/>
      <c r="F41" s="117" t="s">
        <v>41</v>
      </c>
      <c r="G41" s="118"/>
      <c r="H41" s="118"/>
      <c r="I41" s="118"/>
      <c r="J41" s="118"/>
      <c r="K41" s="119"/>
      <c r="L41" s="49"/>
      <c r="M41" s="49"/>
      <c r="N41" s="49"/>
    </row>
    <row r="42" spans="1:14" ht="15" thickBot="1" x14ac:dyDescent="0.3">
      <c r="A42" s="17" t="s">
        <v>42</v>
      </c>
      <c r="B42" s="18" t="s">
        <v>4</v>
      </c>
      <c r="C42" s="19" t="s">
        <v>5</v>
      </c>
      <c r="D42" s="20" t="s">
        <v>43</v>
      </c>
      <c r="E42" s="21" t="s">
        <v>44</v>
      </c>
      <c r="F42" s="120" t="s">
        <v>45</v>
      </c>
      <c r="G42" s="121"/>
      <c r="H42" s="121"/>
      <c r="I42" s="120" t="s">
        <v>46</v>
      </c>
      <c r="J42" s="121"/>
      <c r="K42" s="122"/>
      <c r="L42" s="49"/>
      <c r="M42" s="49"/>
      <c r="N42" s="49"/>
    </row>
    <row r="43" spans="1:14" ht="14.25" x14ac:dyDescent="0.25">
      <c r="A43" s="9" t="s">
        <v>86</v>
      </c>
      <c r="B43" s="22">
        <f>B23</f>
        <v>0</v>
      </c>
      <c r="C43" s="23" t="s">
        <v>8</v>
      </c>
      <c r="D43" s="24">
        <f>SQRT(SUMSQ(F43,I43))</f>
        <v>5.6983562864930679E-3</v>
      </c>
      <c r="E43" s="25"/>
      <c r="F43" s="4">
        <f>0.005/SQRT(3)</f>
        <v>2.886751345948129E-3</v>
      </c>
      <c r="G43" s="9" t="s">
        <v>101</v>
      </c>
      <c r="H43" s="4" t="s">
        <v>47</v>
      </c>
      <c r="I43" s="40">
        <f>B11</f>
        <v>4.913036844405071E-3</v>
      </c>
      <c r="J43" s="9" t="s">
        <v>78</v>
      </c>
      <c r="K43" s="4" t="s">
        <v>67</v>
      </c>
      <c r="L43" s="22"/>
      <c r="M43" s="22"/>
      <c r="N43" s="22"/>
    </row>
    <row r="44" spans="1:14" ht="14.25" x14ac:dyDescent="0.25">
      <c r="A44" s="9" t="s">
        <v>87</v>
      </c>
      <c r="B44" s="22">
        <f>B24</f>
        <v>9.0299999999999994</v>
      </c>
      <c r="C44" s="23" t="s">
        <v>8</v>
      </c>
      <c r="D44" s="24">
        <f t="shared" ref="D44" si="0">SQRT(SUMSQ(F44,I44))</f>
        <v>4.8541959571904332E-3</v>
      </c>
      <c r="E44" s="25">
        <f>D44/B44</f>
        <v>5.3756322892474344E-4</v>
      </c>
      <c r="F44" s="4">
        <f>0.005/SQRT(3)</f>
        <v>2.886751345948129E-3</v>
      </c>
      <c r="G44" s="9" t="s">
        <v>102</v>
      </c>
      <c r="H44" s="4" t="s">
        <v>47</v>
      </c>
      <c r="I44" s="40">
        <f>B10</f>
        <v>3.9025485336470337E-3</v>
      </c>
      <c r="J44" s="9" t="s">
        <v>79</v>
      </c>
      <c r="K44" s="4" t="s">
        <v>67</v>
      </c>
      <c r="L44" s="22"/>
      <c r="M44" s="22"/>
      <c r="N44" s="22"/>
    </row>
    <row r="45" spans="1:14" ht="14.25" x14ac:dyDescent="0.25">
      <c r="A45" s="9" t="s">
        <v>88</v>
      </c>
      <c r="B45" s="22">
        <f>B25</f>
        <v>0</v>
      </c>
      <c r="C45" s="23" t="s">
        <v>8</v>
      </c>
      <c r="D45" s="24">
        <f>SQRT(SUMSQ(F45))</f>
        <v>5.773502691896258E-3</v>
      </c>
      <c r="E45" s="25"/>
      <c r="F45" s="1">
        <f>0.01/SQRT(3)</f>
        <v>5.773502691896258E-3</v>
      </c>
      <c r="G45" s="9" t="s">
        <v>103</v>
      </c>
      <c r="H45" s="22" t="s">
        <v>48</v>
      </c>
      <c r="I45" s="22"/>
      <c r="J45" s="22"/>
      <c r="K45" s="22"/>
      <c r="L45" s="22"/>
      <c r="M45" s="22"/>
      <c r="N45" s="22"/>
    </row>
    <row r="46" spans="1:14" ht="14.25" x14ac:dyDescent="0.25">
      <c r="A46" s="9" t="s">
        <v>89</v>
      </c>
      <c r="B46" s="26">
        <f>B26</f>
        <v>8.9792439550701673</v>
      </c>
      <c r="C46" s="23" t="s">
        <v>8</v>
      </c>
      <c r="D46" s="24">
        <f>SQRT(SUMSQ(F46))</f>
        <v>3.1E-2</v>
      </c>
      <c r="E46" s="25">
        <f>D46/B46</f>
        <v>3.4524064782197749E-3</v>
      </c>
      <c r="F46" s="22">
        <f>B13</f>
        <v>3.1E-2</v>
      </c>
      <c r="G46" s="9" t="s">
        <v>81</v>
      </c>
      <c r="H46" s="57" t="s">
        <v>202</v>
      </c>
      <c r="I46" s="22"/>
      <c r="J46" s="22"/>
      <c r="K46" s="22"/>
      <c r="L46" s="22"/>
      <c r="M46" s="22"/>
      <c r="N46" s="22"/>
    </row>
    <row r="47" spans="1:14" ht="14.25" x14ac:dyDescent="0.25">
      <c r="A47" s="9" t="s">
        <v>94</v>
      </c>
      <c r="B47" s="26">
        <f>B33</f>
        <v>11.12</v>
      </c>
      <c r="C47" s="23" t="s">
        <v>8</v>
      </c>
      <c r="D47" s="24">
        <f>SQRT(SUMSQ(F47,I47))</f>
        <v>6.8704623597826572E-2</v>
      </c>
      <c r="E47" s="25">
        <f>D47/B47</f>
        <v>6.1784733451282891E-3</v>
      </c>
      <c r="F47" s="4">
        <f>0.005/SQRT(3)</f>
        <v>2.886751345948129E-3</v>
      </c>
      <c r="G47" s="9" t="s">
        <v>104</v>
      </c>
      <c r="H47" s="4" t="s">
        <v>47</v>
      </c>
      <c r="I47" s="40">
        <f>B12</f>
        <v>6.8643950719533137E-2</v>
      </c>
      <c r="J47" s="50" t="s">
        <v>80</v>
      </c>
      <c r="K47" s="4" t="s">
        <v>68</v>
      </c>
      <c r="L47" s="4"/>
      <c r="M47" s="4"/>
      <c r="N47" s="4"/>
    </row>
    <row r="48" spans="1:14" ht="15.75" x14ac:dyDescent="0.3">
      <c r="A48" s="59" t="s">
        <v>49</v>
      </c>
      <c r="B48" s="15">
        <f>(EXP(-139.3441+157570.1/(B36+273.15)+(-66423080/(B36+273.15)^2)+(12438000000/(B36+273.15)^3)+(-862194900000/(B36+273.15)^4)))*($B$28-101325*(EXP((((-216961*(1/(B36+273.15)))-3840.7)*(1/(B36+273.15))+11.8571))))/(101325-101325*(EXP((((-216961*(1/(B36+273.15)))-3840.7)*(1/(B36+273.15))+11.8571))))/((EXP(-139.3441+157570.1/(B36+273.15)+(-66423080/(B36+273.15)^2)+(12438000000/(B36+273.15)^3)+(-862194900000/(B36+273.15)^4)))*($B$28-101325*(EXP((((-216961*(1/(B36+273.15)))-3840.7)*(1/(B36+273.15))+11.8571))))/(101325-101325*(EXP((((-216961*(1/(B36+273.15)))-3840.7)*(1/(B36+273.15))+11.8571))))*EXP(-B35*(0.017674-10.754/(B36+273.15)+2140.7/((B36+273.15)^2))))</f>
        <v>1.0095242043772739</v>
      </c>
      <c r="C48" s="23" t="s">
        <v>50</v>
      </c>
      <c r="D48" s="24">
        <f>SQRT(SUMSQ(F48))</f>
        <v>2.7494009805180374E-3</v>
      </c>
      <c r="E48" s="25">
        <f>D48/B48</f>
        <v>2.7234621701953234E-3</v>
      </c>
      <c r="F48" s="4">
        <f>(B48-1)*0.5/SQRT(3)</f>
        <v>2.7494009805180374E-3</v>
      </c>
      <c r="G48" s="28" t="s">
        <v>69</v>
      </c>
      <c r="H48" s="4"/>
      <c r="I48" s="4"/>
      <c r="J48" s="4"/>
      <c r="K48" s="4"/>
      <c r="L48" s="4"/>
      <c r="M48" s="4"/>
      <c r="N48" s="4"/>
    </row>
    <row r="49" spans="1:16" ht="15.75" x14ac:dyDescent="0.3">
      <c r="A49" s="9" t="s">
        <v>97</v>
      </c>
      <c r="B49" s="27">
        <v>0</v>
      </c>
      <c r="C49" s="23" t="s">
        <v>8</v>
      </c>
      <c r="D49" s="24">
        <f t="shared" ref="D49:D52" si="1">SQRT(SUMSQ(F49))</f>
        <v>3.0253155729125206E-3</v>
      </c>
      <c r="E49" s="25"/>
      <c r="F49" s="4">
        <f>ABS(B14)*B37*B33/100/SQRT(3)</f>
        <v>3.0253155729125206E-3</v>
      </c>
      <c r="G49" s="28" t="s">
        <v>105</v>
      </c>
      <c r="H49" s="4"/>
      <c r="I49" s="4"/>
      <c r="J49" s="4"/>
      <c r="K49" s="4"/>
      <c r="L49" s="4"/>
      <c r="M49" s="4"/>
      <c r="N49" s="4"/>
    </row>
    <row r="50" spans="1:16" ht="15.75" x14ac:dyDescent="0.3">
      <c r="A50" s="9" t="s">
        <v>98</v>
      </c>
      <c r="B50" s="27">
        <v>0</v>
      </c>
      <c r="C50" s="23" t="s">
        <v>8</v>
      </c>
      <c r="D50" s="24">
        <f t="shared" si="1"/>
        <v>2.6596613129728787E-3</v>
      </c>
      <c r="E50" s="25"/>
      <c r="F50" s="4">
        <f>ABS(B36-B29)*B15/100*B33/SQRT(3)</f>
        <v>2.6596613129728787E-3</v>
      </c>
      <c r="G50" s="28" t="s">
        <v>106</v>
      </c>
      <c r="H50" s="4"/>
      <c r="I50" s="4"/>
      <c r="J50" s="4"/>
      <c r="K50" s="4"/>
      <c r="L50" s="4"/>
      <c r="M50" s="4"/>
      <c r="N50" s="4"/>
    </row>
    <row r="51" spans="1:16" ht="15.75" x14ac:dyDescent="0.3">
      <c r="A51" s="9" t="s">
        <v>99</v>
      </c>
      <c r="B51" s="27">
        <v>0</v>
      </c>
      <c r="C51" s="23" t="s">
        <v>8</v>
      </c>
      <c r="D51" s="24">
        <f t="shared" si="1"/>
        <v>1.515339337423089E-2</v>
      </c>
      <c r="E51" s="25"/>
      <c r="F51" s="4">
        <f>(ABS(B16)+B17)*B38/SQRT(3)</f>
        <v>1.515339337423089E-2</v>
      </c>
      <c r="G51" s="28" t="s">
        <v>127</v>
      </c>
      <c r="H51" s="4"/>
      <c r="I51" s="4"/>
      <c r="J51" s="4"/>
      <c r="K51" s="4"/>
      <c r="L51" s="4"/>
      <c r="M51" s="4"/>
      <c r="N51" s="4"/>
    </row>
    <row r="52" spans="1:16" ht="15.75" x14ac:dyDescent="0.3">
      <c r="A52" s="9" t="s">
        <v>100</v>
      </c>
      <c r="B52" s="27">
        <v>0</v>
      </c>
      <c r="C52" s="23" t="s">
        <v>8</v>
      </c>
      <c r="D52" s="24">
        <f t="shared" si="1"/>
        <v>1.9166777302633952E-3</v>
      </c>
      <c r="E52" s="25"/>
      <c r="F52" s="1">
        <f>IF(B33&lt;11,(0),((B33-11)*B18))/SQRT(3)</f>
        <v>1.9166777302633952E-3</v>
      </c>
      <c r="G52" s="28" t="s">
        <v>108</v>
      </c>
    </row>
    <row r="53" spans="1:16" x14ac:dyDescent="0.2">
      <c r="A53" s="9"/>
      <c r="C53" s="23"/>
      <c r="D53" s="24"/>
      <c r="E53" s="29"/>
      <c r="G53" s="28"/>
    </row>
    <row r="54" spans="1:16" x14ac:dyDescent="0.2">
      <c r="A54" s="9"/>
      <c r="B54" s="27"/>
      <c r="C54" s="23"/>
      <c r="D54" s="24"/>
      <c r="E54" s="29"/>
      <c r="G54" s="28"/>
    </row>
    <row r="55" spans="1:16" ht="15" thickBot="1" x14ac:dyDescent="0.3">
      <c r="A55" s="17" t="s">
        <v>42</v>
      </c>
      <c r="B55" s="18" t="s">
        <v>4</v>
      </c>
      <c r="C55" s="19" t="s">
        <v>5</v>
      </c>
      <c r="D55" s="20" t="s">
        <v>43</v>
      </c>
      <c r="G55" s="9" t="s">
        <v>86</v>
      </c>
      <c r="H55" s="9" t="s">
        <v>87</v>
      </c>
      <c r="I55" s="9" t="s">
        <v>88</v>
      </c>
      <c r="J55" s="9" t="s">
        <v>89</v>
      </c>
      <c r="K55" s="9" t="s">
        <v>94</v>
      </c>
      <c r="L55" s="59" t="s">
        <v>49</v>
      </c>
      <c r="M55" s="9" t="s">
        <v>97</v>
      </c>
      <c r="N55" s="9" t="s">
        <v>98</v>
      </c>
      <c r="O55" s="9" t="s">
        <v>99</v>
      </c>
      <c r="P55" s="9" t="s">
        <v>100</v>
      </c>
    </row>
    <row r="56" spans="1:16" ht="14.25" x14ac:dyDescent="0.25">
      <c r="A56" s="9" t="s">
        <v>86</v>
      </c>
      <c r="B56" s="22">
        <f>B43</f>
        <v>0</v>
      </c>
      <c r="C56" s="23" t="s">
        <v>8</v>
      </c>
      <c r="D56" s="24">
        <f>D43</f>
        <v>5.6983562864930679E-3</v>
      </c>
      <c r="G56" s="30">
        <f>$B56+$D56</f>
        <v>5.6983562864930679E-3</v>
      </c>
      <c r="H56" s="1">
        <f t="shared" ref="H56:P56" si="2">$B56</f>
        <v>0</v>
      </c>
      <c r="I56" s="1">
        <f t="shared" si="2"/>
        <v>0</v>
      </c>
      <c r="J56" s="1">
        <f t="shared" si="2"/>
        <v>0</v>
      </c>
      <c r="K56" s="1">
        <f t="shared" si="2"/>
        <v>0</v>
      </c>
      <c r="L56" s="1">
        <f t="shared" si="2"/>
        <v>0</v>
      </c>
      <c r="M56" s="1">
        <f t="shared" si="2"/>
        <v>0</v>
      </c>
      <c r="N56" s="1">
        <f t="shared" si="2"/>
        <v>0</v>
      </c>
      <c r="O56" s="1">
        <f t="shared" si="2"/>
        <v>0</v>
      </c>
      <c r="P56" s="1">
        <f t="shared" si="2"/>
        <v>0</v>
      </c>
    </row>
    <row r="57" spans="1:16" ht="14.25" x14ac:dyDescent="0.25">
      <c r="A57" s="9" t="s">
        <v>87</v>
      </c>
      <c r="B57" s="22">
        <f t="shared" ref="B57:B65" si="3">B44</f>
        <v>9.0299999999999994</v>
      </c>
      <c r="C57" s="23" t="s">
        <v>8</v>
      </c>
      <c r="D57" s="24">
        <f t="shared" ref="D57:D65" si="4">D44</f>
        <v>4.8541959571904332E-3</v>
      </c>
      <c r="G57" s="1">
        <f t="shared" ref="G57:P65" si="5">$B57</f>
        <v>9.0299999999999994</v>
      </c>
      <c r="H57" s="30">
        <f>$B57+$D57</f>
        <v>9.0348541959571893</v>
      </c>
      <c r="I57" s="1">
        <f t="shared" si="5"/>
        <v>9.0299999999999994</v>
      </c>
      <c r="J57" s="1">
        <f t="shared" si="5"/>
        <v>9.0299999999999994</v>
      </c>
      <c r="K57" s="1">
        <f t="shared" si="5"/>
        <v>9.0299999999999994</v>
      </c>
      <c r="L57" s="1">
        <f t="shared" si="5"/>
        <v>9.0299999999999994</v>
      </c>
      <c r="M57" s="1">
        <f t="shared" si="5"/>
        <v>9.0299999999999994</v>
      </c>
      <c r="N57" s="1">
        <f t="shared" si="5"/>
        <v>9.0299999999999994</v>
      </c>
      <c r="O57" s="1">
        <f t="shared" si="5"/>
        <v>9.0299999999999994</v>
      </c>
      <c r="P57" s="1">
        <f t="shared" si="5"/>
        <v>9.0299999999999994</v>
      </c>
    </row>
    <row r="58" spans="1:16" ht="14.25" x14ac:dyDescent="0.25">
      <c r="A58" s="9" t="s">
        <v>88</v>
      </c>
      <c r="B58" s="22">
        <f t="shared" si="3"/>
        <v>0</v>
      </c>
      <c r="C58" s="23" t="s">
        <v>8</v>
      </c>
      <c r="D58" s="24">
        <f t="shared" si="4"/>
        <v>5.773502691896258E-3</v>
      </c>
      <c r="G58" s="1">
        <f t="shared" si="5"/>
        <v>0</v>
      </c>
      <c r="H58" s="1">
        <f t="shared" si="5"/>
        <v>0</v>
      </c>
      <c r="I58" s="30">
        <f>$B58+$D58</f>
        <v>5.773502691896258E-3</v>
      </c>
      <c r="J58" s="1">
        <f t="shared" si="5"/>
        <v>0</v>
      </c>
      <c r="K58" s="1">
        <f t="shared" si="5"/>
        <v>0</v>
      </c>
      <c r="L58" s="1">
        <f t="shared" si="5"/>
        <v>0</v>
      </c>
      <c r="M58" s="1">
        <f t="shared" si="5"/>
        <v>0</v>
      </c>
      <c r="N58" s="1">
        <f t="shared" si="5"/>
        <v>0</v>
      </c>
      <c r="O58" s="1">
        <f t="shared" si="5"/>
        <v>0</v>
      </c>
      <c r="P58" s="1">
        <f t="shared" si="5"/>
        <v>0</v>
      </c>
    </row>
    <row r="59" spans="1:16" ht="14.25" x14ac:dyDescent="0.25">
      <c r="A59" s="9" t="s">
        <v>89</v>
      </c>
      <c r="B59" s="22">
        <f t="shared" si="3"/>
        <v>8.9792439550701673</v>
      </c>
      <c r="C59" s="23" t="s">
        <v>8</v>
      </c>
      <c r="D59" s="24">
        <f t="shared" si="4"/>
        <v>3.1E-2</v>
      </c>
      <c r="G59" s="1">
        <f t="shared" si="5"/>
        <v>8.9792439550701673</v>
      </c>
      <c r="H59" s="1">
        <f t="shared" si="5"/>
        <v>8.9792439550701673</v>
      </c>
      <c r="I59" s="1">
        <f t="shared" si="5"/>
        <v>8.9792439550701673</v>
      </c>
      <c r="J59" s="30">
        <f>$B59+$D59</f>
        <v>9.0102439550701678</v>
      </c>
      <c r="K59" s="1">
        <f t="shared" si="5"/>
        <v>8.9792439550701673</v>
      </c>
      <c r="L59" s="1">
        <f t="shared" si="5"/>
        <v>8.9792439550701673</v>
      </c>
      <c r="M59" s="1">
        <f t="shared" si="5"/>
        <v>8.9792439550701673</v>
      </c>
      <c r="N59" s="1">
        <f t="shared" si="5"/>
        <v>8.9792439550701673</v>
      </c>
      <c r="O59" s="1">
        <f t="shared" si="5"/>
        <v>8.9792439550701673</v>
      </c>
      <c r="P59" s="1">
        <f t="shared" si="5"/>
        <v>8.9792439550701673</v>
      </c>
    </row>
    <row r="60" spans="1:16" ht="14.25" x14ac:dyDescent="0.25">
      <c r="A60" s="9" t="s">
        <v>94</v>
      </c>
      <c r="B60" s="22">
        <f t="shared" si="3"/>
        <v>11.12</v>
      </c>
      <c r="C60" s="23" t="s">
        <v>8</v>
      </c>
      <c r="D60" s="24">
        <f t="shared" si="4"/>
        <v>6.8704623597826572E-2</v>
      </c>
      <c r="E60" s="6"/>
      <c r="G60" s="1">
        <f t="shared" si="5"/>
        <v>11.12</v>
      </c>
      <c r="H60" s="1">
        <f t="shared" si="5"/>
        <v>11.12</v>
      </c>
      <c r="I60" s="1">
        <f t="shared" si="5"/>
        <v>11.12</v>
      </c>
      <c r="J60" s="1">
        <f t="shared" si="5"/>
        <v>11.12</v>
      </c>
      <c r="K60" s="30">
        <f>$B60+$D60</f>
        <v>11.188704623597825</v>
      </c>
      <c r="L60" s="1">
        <f t="shared" si="5"/>
        <v>11.12</v>
      </c>
      <c r="M60" s="1">
        <f t="shared" si="5"/>
        <v>11.12</v>
      </c>
      <c r="N60" s="1">
        <f t="shared" si="5"/>
        <v>11.12</v>
      </c>
      <c r="O60" s="1">
        <f t="shared" si="5"/>
        <v>11.12</v>
      </c>
      <c r="P60" s="1">
        <f t="shared" si="5"/>
        <v>11.12</v>
      </c>
    </row>
    <row r="61" spans="1:16" x14ac:dyDescent="0.2">
      <c r="A61" s="59" t="s">
        <v>49</v>
      </c>
      <c r="B61" s="22">
        <f t="shared" si="3"/>
        <v>1.0095242043772739</v>
      </c>
      <c r="C61" s="23" t="s">
        <v>50</v>
      </c>
      <c r="D61" s="24">
        <f t="shared" si="4"/>
        <v>2.7494009805180374E-3</v>
      </c>
      <c r="G61" s="1">
        <f t="shared" si="5"/>
        <v>1.0095242043772739</v>
      </c>
      <c r="H61" s="1">
        <f t="shared" si="5"/>
        <v>1.0095242043772739</v>
      </c>
      <c r="I61" s="1">
        <f t="shared" si="5"/>
        <v>1.0095242043772739</v>
      </c>
      <c r="J61" s="1">
        <f t="shared" si="5"/>
        <v>1.0095242043772739</v>
      </c>
      <c r="K61" s="1">
        <f t="shared" si="5"/>
        <v>1.0095242043772739</v>
      </c>
      <c r="L61" s="30">
        <f>$B61+$D61</f>
        <v>1.0122736053577919</v>
      </c>
      <c r="M61" s="1">
        <f t="shared" si="5"/>
        <v>1.0095242043772739</v>
      </c>
      <c r="N61" s="1">
        <f t="shared" si="5"/>
        <v>1.0095242043772739</v>
      </c>
      <c r="O61" s="1">
        <f t="shared" si="5"/>
        <v>1.0095242043772739</v>
      </c>
      <c r="P61" s="1">
        <f t="shared" si="5"/>
        <v>1.0095242043772739</v>
      </c>
    </row>
    <row r="62" spans="1:16" ht="14.25" x14ac:dyDescent="0.25">
      <c r="A62" s="9" t="s">
        <v>97</v>
      </c>
      <c r="B62" s="22">
        <f t="shared" si="3"/>
        <v>0</v>
      </c>
      <c r="C62" s="23" t="s">
        <v>8</v>
      </c>
      <c r="D62" s="24">
        <f t="shared" si="4"/>
        <v>3.0253155729125206E-3</v>
      </c>
      <c r="G62" s="1">
        <f t="shared" si="5"/>
        <v>0</v>
      </c>
      <c r="H62" s="1">
        <f t="shared" si="5"/>
        <v>0</v>
      </c>
      <c r="I62" s="1">
        <f t="shared" si="5"/>
        <v>0</v>
      </c>
      <c r="J62" s="1">
        <f t="shared" si="5"/>
        <v>0</v>
      </c>
      <c r="K62" s="1">
        <f t="shared" si="5"/>
        <v>0</v>
      </c>
      <c r="L62" s="1">
        <f t="shared" si="5"/>
        <v>0</v>
      </c>
      <c r="M62" s="30">
        <f>$B62+$D62</f>
        <v>3.0253155729125206E-3</v>
      </c>
      <c r="N62" s="1">
        <f t="shared" si="5"/>
        <v>0</v>
      </c>
      <c r="O62" s="1">
        <f t="shared" si="5"/>
        <v>0</v>
      </c>
      <c r="P62" s="1">
        <f t="shared" si="5"/>
        <v>0</v>
      </c>
    </row>
    <row r="63" spans="1:16" ht="14.25" x14ac:dyDescent="0.25">
      <c r="A63" s="9" t="s">
        <v>98</v>
      </c>
      <c r="B63" s="22">
        <f t="shared" si="3"/>
        <v>0</v>
      </c>
      <c r="C63" s="23" t="s">
        <v>8</v>
      </c>
      <c r="D63" s="24">
        <f t="shared" si="4"/>
        <v>2.6596613129728787E-3</v>
      </c>
      <c r="G63" s="1">
        <f t="shared" si="5"/>
        <v>0</v>
      </c>
      <c r="H63" s="1">
        <f t="shared" si="5"/>
        <v>0</v>
      </c>
      <c r="I63" s="1">
        <f t="shared" si="5"/>
        <v>0</v>
      </c>
      <c r="J63" s="1">
        <f t="shared" si="5"/>
        <v>0</v>
      </c>
      <c r="K63" s="1">
        <f t="shared" si="5"/>
        <v>0</v>
      </c>
      <c r="L63" s="1">
        <f t="shared" si="5"/>
        <v>0</v>
      </c>
      <c r="M63" s="1">
        <f t="shared" si="5"/>
        <v>0</v>
      </c>
      <c r="N63" s="30">
        <f>$B63+$D63</f>
        <v>2.6596613129728787E-3</v>
      </c>
      <c r="O63" s="1">
        <f t="shared" si="5"/>
        <v>0</v>
      </c>
      <c r="P63" s="1">
        <f t="shared" si="5"/>
        <v>0</v>
      </c>
    </row>
    <row r="64" spans="1:16" ht="14.25" x14ac:dyDescent="0.25">
      <c r="A64" s="9" t="s">
        <v>99</v>
      </c>
      <c r="B64" s="22">
        <f t="shared" si="3"/>
        <v>0</v>
      </c>
      <c r="C64" s="23" t="s">
        <v>8</v>
      </c>
      <c r="D64" s="24">
        <f t="shared" si="4"/>
        <v>1.515339337423089E-2</v>
      </c>
      <c r="G64" s="1">
        <f t="shared" si="5"/>
        <v>0</v>
      </c>
      <c r="H64" s="1">
        <f t="shared" si="5"/>
        <v>0</v>
      </c>
      <c r="I64" s="1">
        <f t="shared" si="5"/>
        <v>0</v>
      </c>
      <c r="J64" s="1">
        <f t="shared" si="5"/>
        <v>0</v>
      </c>
      <c r="K64" s="1">
        <f t="shared" si="5"/>
        <v>0</v>
      </c>
      <c r="L64" s="1">
        <f t="shared" si="5"/>
        <v>0</v>
      </c>
      <c r="M64" s="1">
        <f t="shared" si="5"/>
        <v>0</v>
      </c>
      <c r="N64" s="1">
        <f t="shared" si="5"/>
        <v>0</v>
      </c>
      <c r="O64" s="30">
        <f>$B64+$D64</f>
        <v>1.515339337423089E-2</v>
      </c>
      <c r="P64" s="1">
        <f t="shared" si="5"/>
        <v>0</v>
      </c>
    </row>
    <row r="65" spans="1:16" ht="14.25" x14ac:dyDescent="0.25">
      <c r="A65" s="9" t="s">
        <v>100</v>
      </c>
      <c r="B65" s="22">
        <f t="shared" si="3"/>
        <v>0</v>
      </c>
      <c r="C65" s="23" t="s">
        <v>8</v>
      </c>
      <c r="D65" s="24">
        <f t="shared" si="4"/>
        <v>1.9166777302633952E-3</v>
      </c>
      <c r="G65" s="1">
        <f t="shared" si="5"/>
        <v>0</v>
      </c>
      <c r="H65" s="1">
        <f t="shared" si="5"/>
        <v>0</v>
      </c>
      <c r="I65" s="1">
        <f t="shared" si="5"/>
        <v>0</v>
      </c>
      <c r="J65" s="1">
        <f t="shared" si="5"/>
        <v>0</v>
      </c>
      <c r="K65" s="1">
        <f t="shared" si="5"/>
        <v>0</v>
      </c>
      <c r="L65" s="1">
        <f t="shared" si="5"/>
        <v>0</v>
      </c>
      <c r="M65" s="1">
        <f t="shared" si="5"/>
        <v>0</v>
      </c>
      <c r="N65" s="1">
        <f t="shared" si="5"/>
        <v>0</v>
      </c>
      <c r="O65" s="1">
        <f t="shared" si="5"/>
        <v>0</v>
      </c>
      <c r="P65" s="30">
        <f>$B65+$D65</f>
        <v>1.9166777302633952E-3</v>
      </c>
    </row>
    <row r="67" spans="1:16" ht="15.75" x14ac:dyDescent="0.3">
      <c r="A67" s="4" t="s">
        <v>51</v>
      </c>
      <c r="B67" s="31">
        <f>(B60+B62+B63+B64+B65)/B61/((B57-B56)/(B59-B58))-((B56*B59-B58*B57)/(B59-B58))/((B57-B56)/(B59-B58))</f>
        <v>10.953176143762326</v>
      </c>
      <c r="C67" s="23" t="s">
        <v>8</v>
      </c>
      <c r="E67" s="51"/>
      <c r="F67" s="51"/>
      <c r="G67" s="1">
        <f>(((G60+G62+G63+G64+G65)/G61)-INTERCEPT(G56:G57,G58:G59))/SLOPE(G56:G57,G58:G59)</f>
        <v>10.954422574715172</v>
      </c>
      <c r="H67" s="1">
        <f t="shared" ref="H67:P67" si="6">(((H60+H62+H63+H64+H65)/H61)-INTERCEPT(H56:H57,H58:H59))/SLOPE(H56:H57,H58:H59)</f>
        <v>10.947291282512518</v>
      </c>
      <c r="I67" s="1">
        <f t="shared" si="6"/>
        <v>10.951906938597386</v>
      </c>
      <c r="J67" s="1">
        <f t="shared" si="6"/>
        <v>10.990990960038133</v>
      </c>
      <c r="K67" s="1">
        <f t="shared" si="6"/>
        <v>11.020850050611056</v>
      </c>
      <c r="L67" s="1">
        <f t="shared" si="6"/>
        <v>10.923426604635695</v>
      </c>
      <c r="M67" s="1">
        <f t="shared" si="6"/>
        <v>10.9561560731113</v>
      </c>
      <c r="N67" s="1">
        <f t="shared" si="6"/>
        <v>10.955795904449714</v>
      </c>
      <c r="O67" s="1">
        <f t="shared" si="6"/>
        <v>10.968102203726684</v>
      </c>
      <c r="P67" s="1">
        <f t="shared" si="6"/>
        <v>10.955064067214698</v>
      </c>
    </row>
    <row r="68" spans="1:16" ht="15.75" x14ac:dyDescent="0.3">
      <c r="A68" s="4" t="s">
        <v>52</v>
      </c>
      <c r="B68" s="32">
        <f>SQRT(P70)</f>
        <v>8.470326904079134E-2</v>
      </c>
      <c r="C68" s="4" t="s">
        <v>8</v>
      </c>
      <c r="G68" s="1">
        <f>G67-$B$67</f>
        <v>1.246430952846822E-3</v>
      </c>
      <c r="H68" s="1">
        <f t="shared" ref="H68:P68" si="7">H67-$B$67</f>
        <v>-5.8848612498074715E-3</v>
      </c>
      <c r="I68" s="1">
        <f t="shared" si="7"/>
        <v>-1.2692051649398906E-3</v>
      </c>
      <c r="J68" s="1">
        <f t="shared" si="7"/>
        <v>3.7814816275806962E-2</v>
      </c>
      <c r="K68" s="1">
        <f t="shared" si="7"/>
        <v>6.7673906848730425E-2</v>
      </c>
      <c r="L68" s="1">
        <f t="shared" si="7"/>
        <v>-2.9749539126630253E-2</v>
      </c>
      <c r="M68" s="1">
        <f t="shared" si="7"/>
        <v>2.9799293489745082E-3</v>
      </c>
      <c r="N68" s="1">
        <f t="shared" si="7"/>
        <v>2.6197606873878954E-3</v>
      </c>
      <c r="O68" s="1">
        <f t="shared" si="7"/>
        <v>1.4926059964357918E-2</v>
      </c>
      <c r="P68" s="1">
        <f t="shared" si="7"/>
        <v>1.8879234523723198E-3</v>
      </c>
    </row>
    <row r="69" spans="1:16" ht="15.75" x14ac:dyDescent="0.3">
      <c r="A69" s="33" t="s">
        <v>53</v>
      </c>
      <c r="B69" s="34">
        <f>B68*2</f>
        <v>0.16940653808158268</v>
      </c>
      <c r="C69" s="33" t="s">
        <v>54</v>
      </c>
      <c r="G69" s="1">
        <f>G68^2</f>
        <v>1.5535901202146367E-6</v>
      </c>
      <c r="H69" s="1">
        <f t="shared" ref="H69:P69" si="8">H68^2</f>
        <v>3.4631591929485558E-5</v>
      </c>
      <c r="I69" s="1">
        <f t="shared" si="8"/>
        <v>1.6108817507100948E-6</v>
      </c>
      <c r="J69" s="1">
        <f t="shared" si="8"/>
        <v>1.4299603299730351E-3</v>
      </c>
      <c r="K69" s="1">
        <f t="shared" si="8"/>
        <v>4.5797576681706424E-3</v>
      </c>
      <c r="L69" s="1">
        <f t="shared" si="8"/>
        <v>8.8503507824690434E-4</v>
      </c>
      <c r="M69" s="1">
        <f t="shared" si="8"/>
        <v>8.8799789248796368E-6</v>
      </c>
      <c r="N69" s="1">
        <f t="shared" si="8"/>
        <v>6.8631460591830979E-6</v>
      </c>
      <c r="O69" s="1">
        <f t="shared" si="8"/>
        <v>2.227872660596083E-4</v>
      </c>
      <c r="P69" s="1">
        <f t="shared" si="8"/>
        <v>3.564254962017419E-6</v>
      </c>
    </row>
    <row r="70" spans="1:16" ht="15.75" x14ac:dyDescent="0.3">
      <c r="A70" s="33" t="s">
        <v>70</v>
      </c>
      <c r="B70" s="88">
        <f>B69/B67*100</f>
        <v>1.5466430545632852</v>
      </c>
      <c r="C70" s="33" t="s">
        <v>71</v>
      </c>
      <c r="P70" s="1">
        <f>SUM(G69:P69)</f>
        <v>7.1746437861966812E-3</v>
      </c>
    </row>
    <row r="71" spans="1:16" ht="15.75" x14ac:dyDescent="0.3">
      <c r="B71" s="4" t="s">
        <v>77</v>
      </c>
      <c r="C71" s="1">
        <f>('Table S10'!B67-'Table S11'!B66)/SQRT('Table S10'!B69^2+'Table S11'!B68^2)</f>
        <v>-0.40887882249461516</v>
      </c>
      <c r="E71" s="4" t="s">
        <v>55</v>
      </c>
      <c r="G71" s="89">
        <f>G69/$P$70</f>
        <v>2.1653899015914817E-4</v>
      </c>
      <c r="H71" s="89">
        <f t="shared" ref="H71:P71" si="9">H69/$P$70</f>
        <v>4.8269423488471134E-3</v>
      </c>
      <c r="I71" s="89">
        <f t="shared" si="9"/>
        <v>2.2452428283746645E-4</v>
      </c>
      <c r="J71" s="89">
        <f>J69/$P$70</f>
        <v>0.19930750188938162</v>
      </c>
      <c r="K71" s="89">
        <f t="shared" si="9"/>
        <v>0.6383254423002368</v>
      </c>
      <c r="L71" s="89">
        <f t="shared" si="9"/>
        <v>0.12335596088402688</v>
      </c>
      <c r="M71" s="89">
        <f t="shared" si="9"/>
        <v>1.2376891716859666E-3</v>
      </c>
      <c r="N71" s="89">
        <f>N69/$P$70</f>
        <v>9.5658352716926874E-4</v>
      </c>
      <c r="O71" s="89">
        <f t="shared" si="9"/>
        <v>3.1052031668558848E-2</v>
      </c>
      <c r="P71" s="89">
        <f t="shared" si="9"/>
        <v>4.9678493709676564E-4</v>
      </c>
    </row>
    <row r="72" spans="1:16" x14ac:dyDescent="0.2">
      <c r="P72" s="52">
        <f>SUM(G71:P71)</f>
        <v>1</v>
      </c>
    </row>
  </sheetData>
  <mergeCells count="4">
    <mergeCell ref="A41:E41"/>
    <mergeCell ref="F41:K41"/>
    <mergeCell ref="F42:H42"/>
    <mergeCell ref="I42:K42"/>
  </mergeCells>
  <pageMargins left="0.7" right="0.7" top="0.75" bottom="0.75" header="0.3" footer="0.3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9457" r:id="rId4">
          <objectPr defaultSize="0" autoPict="0" r:id="rId5">
            <anchor moveWithCells="1" sizeWithCells="1">
              <from>
                <xdr:col>6</xdr:col>
                <xdr:colOff>161925</xdr:colOff>
                <xdr:row>2</xdr:row>
                <xdr:rowOff>85725</xdr:rowOff>
              </from>
              <to>
                <xdr:col>9</xdr:col>
                <xdr:colOff>190500</xdr:colOff>
                <xdr:row>5</xdr:row>
                <xdr:rowOff>57150</xdr:rowOff>
              </to>
            </anchor>
          </objectPr>
        </oleObject>
      </mc:Choice>
      <mc:Fallback>
        <oleObject progId="Equation.3" shapeId="19457" r:id="rId4"/>
      </mc:Fallback>
    </mc:AlternateContent>
    <mc:AlternateContent xmlns:mc="http://schemas.openxmlformats.org/markup-compatibility/2006">
      <mc:Choice Requires="x14">
        <oleObject progId="Equation.3" shapeId="19458" r:id="rId6">
          <objectPr defaultSize="0" r:id="rId7">
            <anchor moveWithCells="1" sizeWithCells="1">
              <from>
                <xdr:col>9</xdr:col>
                <xdr:colOff>514350</xdr:colOff>
                <xdr:row>2</xdr:row>
                <xdr:rowOff>9525</xdr:rowOff>
              </from>
              <to>
                <xdr:col>12</xdr:col>
                <xdr:colOff>85725</xdr:colOff>
                <xdr:row>4</xdr:row>
                <xdr:rowOff>142875</xdr:rowOff>
              </to>
            </anchor>
          </objectPr>
        </oleObject>
      </mc:Choice>
      <mc:Fallback>
        <oleObject progId="Equation.3" shapeId="19458" r:id="rId6"/>
      </mc:Fallback>
    </mc:AlternateContent>
    <mc:AlternateContent xmlns:mc="http://schemas.openxmlformats.org/markup-compatibility/2006">
      <mc:Choice Requires="x14">
        <oleObject progId="Equation.3" shapeId="19459" r:id="rId8">
          <objectPr defaultSize="0" autoPict="0" r:id="rId9">
            <anchor moveWithCells="1" sizeWithCells="1">
              <from>
                <xdr:col>0</xdr:col>
                <xdr:colOff>533400</xdr:colOff>
                <xdr:row>2</xdr:row>
                <xdr:rowOff>57150</xdr:rowOff>
              </from>
              <to>
                <xdr:col>5</xdr:col>
                <xdr:colOff>381000</xdr:colOff>
                <xdr:row>5</xdr:row>
                <xdr:rowOff>28575</xdr:rowOff>
              </to>
            </anchor>
          </objectPr>
        </oleObject>
      </mc:Choice>
      <mc:Fallback>
        <oleObject progId="Equation.3" shapeId="19459" r:id="rId8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1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13.42578125" style="1" customWidth="1"/>
    <col min="3" max="4" width="9.140625" style="1"/>
    <col min="5" max="5" width="12.42578125" style="1" bestFit="1" customWidth="1"/>
    <col min="6" max="6" width="12.7109375" style="1" bestFit="1" customWidth="1"/>
    <col min="7" max="7" width="12.140625" style="1" bestFit="1" customWidth="1"/>
    <col min="8" max="8" width="19.28515625" style="1" customWidth="1"/>
    <col min="9" max="9" width="7" style="1" customWidth="1"/>
    <col min="10" max="10" width="10.140625" style="1" customWidth="1"/>
    <col min="11" max="22" width="9.140625" style="1"/>
    <col min="23" max="23" width="11.5703125" style="1" customWidth="1"/>
    <col min="24" max="16384" width="9.140625" style="1"/>
  </cols>
  <sheetData>
    <row r="1" spans="1:13" ht="12.95" x14ac:dyDescent="0.3">
      <c r="A1" s="5" t="s">
        <v>195</v>
      </c>
    </row>
    <row r="2" spans="1:13" x14ac:dyDescent="0.2">
      <c r="A2" s="5" t="s">
        <v>193</v>
      </c>
    </row>
    <row r="4" spans="1:13" ht="12.6" customHeight="1" x14ac:dyDescent="0.3">
      <c r="A4" s="5"/>
    </row>
    <row r="5" spans="1:13" ht="12.6" x14ac:dyDescent="0.25">
      <c r="A5" s="6"/>
    </row>
    <row r="6" spans="1:13" ht="12.6" x14ac:dyDescent="0.25">
      <c r="A6" s="4"/>
    </row>
    <row r="8" spans="1:13" s="2" customFormat="1" ht="18" x14ac:dyDescent="0.4">
      <c r="A8" s="73" t="s">
        <v>120</v>
      </c>
    </row>
    <row r="9" spans="1:13" s="36" customFormat="1" ht="11.45" x14ac:dyDescent="0.25">
      <c r="A9" s="36" t="s">
        <v>60</v>
      </c>
    </row>
    <row r="10" spans="1:13" s="36" customFormat="1" ht="15" x14ac:dyDescent="0.4">
      <c r="A10" s="9" t="s">
        <v>78</v>
      </c>
      <c r="B10" s="44">
        <v>1.9832633040858201E-2</v>
      </c>
      <c r="C10" s="38" t="s">
        <v>8</v>
      </c>
      <c r="D10" s="38" t="s">
        <v>57</v>
      </c>
    </row>
    <row r="11" spans="1:13" s="36" customFormat="1" ht="14.45" customHeight="1" x14ac:dyDescent="0.4">
      <c r="A11" s="9" t="s">
        <v>79</v>
      </c>
      <c r="B11" s="44">
        <v>1.9832633040858156E-2</v>
      </c>
      <c r="C11" s="38" t="s">
        <v>8</v>
      </c>
      <c r="D11" s="38" t="s">
        <v>61</v>
      </c>
      <c r="E11" s="42"/>
    </row>
    <row r="12" spans="1:13" s="36" customFormat="1" ht="14.45" customHeight="1" x14ac:dyDescent="0.4">
      <c r="A12" s="9" t="s">
        <v>80</v>
      </c>
      <c r="B12" s="44">
        <v>5.1187980221346824E-2</v>
      </c>
      <c r="C12" s="38" t="s">
        <v>8</v>
      </c>
      <c r="D12" s="38" t="s">
        <v>58</v>
      </c>
      <c r="E12" s="38"/>
      <c r="F12" s="37"/>
      <c r="G12" s="37"/>
      <c r="K12" s="41"/>
      <c r="L12" s="41"/>
      <c r="M12" s="41"/>
    </row>
    <row r="13" spans="1:13" s="36" customFormat="1" ht="14.45" customHeight="1" x14ac:dyDescent="0.4">
      <c r="A13" s="9" t="s">
        <v>81</v>
      </c>
      <c r="B13" s="37">
        <v>3.1E-2</v>
      </c>
      <c r="C13" s="38" t="s">
        <v>8</v>
      </c>
      <c r="D13" s="55" t="s">
        <v>203</v>
      </c>
      <c r="E13" s="38"/>
      <c r="F13" s="37"/>
      <c r="G13" s="37"/>
    </row>
    <row r="14" spans="1:13" s="36" customFormat="1" ht="14.45" customHeight="1" x14ac:dyDescent="0.4">
      <c r="A14" s="9" t="s">
        <v>82</v>
      </c>
      <c r="B14" s="39">
        <v>1.461426052270281E-2</v>
      </c>
      <c r="C14" s="38" t="s">
        <v>122</v>
      </c>
      <c r="D14" s="38" t="s">
        <v>62</v>
      </c>
      <c r="E14" s="38"/>
      <c r="F14" s="37"/>
      <c r="G14" s="37"/>
    </row>
    <row r="15" spans="1:13" s="36" customFormat="1" ht="14.45" customHeight="1" x14ac:dyDescent="0.25">
      <c r="A15" s="9" t="s">
        <v>83</v>
      </c>
      <c r="B15" s="44">
        <v>-7.7609411222321581E-2</v>
      </c>
      <c r="C15" s="38" t="s">
        <v>63</v>
      </c>
      <c r="D15" s="38" t="s">
        <v>64</v>
      </c>
      <c r="E15" s="38"/>
      <c r="F15" s="37"/>
      <c r="G15" s="37"/>
    </row>
    <row r="16" spans="1:13" s="36" customFormat="1" ht="14.45" customHeight="1" x14ac:dyDescent="0.4">
      <c r="A16" s="9" t="s">
        <v>84</v>
      </c>
      <c r="B16" s="39">
        <v>3.7617436074540932E-3</v>
      </c>
      <c r="C16" s="38" t="s">
        <v>8</v>
      </c>
      <c r="D16" s="38" t="s">
        <v>107</v>
      </c>
      <c r="E16" s="38"/>
      <c r="F16" s="37"/>
      <c r="G16" s="37"/>
    </row>
    <row r="17" spans="1:21" s="36" customFormat="1" ht="14.45" customHeight="1" x14ac:dyDescent="0.4">
      <c r="A17" s="72" t="s">
        <v>123</v>
      </c>
      <c r="B17" s="39">
        <v>8.9586279390695481E-4</v>
      </c>
      <c r="C17" s="38" t="s">
        <v>8</v>
      </c>
      <c r="D17" s="38" t="s">
        <v>124</v>
      </c>
      <c r="E17" s="37"/>
      <c r="F17" s="37"/>
      <c r="G17" s="37"/>
    </row>
    <row r="18" spans="1:21" s="36" customFormat="1" ht="14.45" customHeight="1" x14ac:dyDescent="0.25">
      <c r="A18" s="37"/>
      <c r="B18" s="37"/>
      <c r="C18" s="37"/>
      <c r="D18" s="37"/>
      <c r="E18" s="37"/>
      <c r="F18" s="37"/>
      <c r="G18" s="37"/>
    </row>
    <row r="19" spans="1:21" ht="12.95" x14ac:dyDescent="0.3">
      <c r="A19" s="2" t="s">
        <v>3</v>
      </c>
    </row>
    <row r="20" spans="1:21" ht="12.95" x14ac:dyDescent="0.3">
      <c r="A20" s="2"/>
      <c r="B20" s="2" t="s">
        <v>4</v>
      </c>
      <c r="C20" s="2" t="s">
        <v>5</v>
      </c>
      <c r="D20" s="2" t="s">
        <v>6</v>
      </c>
    </row>
    <row r="21" spans="1:21" ht="12.95" x14ac:dyDescent="0.3">
      <c r="A21" s="2" t="s">
        <v>7</v>
      </c>
      <c r="B21" s="8"/>
      <c r="C21" s="2"/>
      <c r="D21" s="2"/>
    </row>
    <row r="22" spans="1:21" ht="15" x14ac:dyDescent="0.4">
      <c r="A22" s="9" t="s">
        <v>86</v>
      </c>
      <c r="B22" s="10">
        <v>0</v>
      </c>
      <c r="C22" s="4" t="s">
        <v>8</v>
      </c>
      <c r="D22" s="4" t="s">
        <v>9</v>
      </c>
      <c r="L22" s="4" t="s">
        <v>200</v>
      </c>
    </row>
    <row r="23" spans="1:21" ht="15" x14ac:dyDescent="0.4">
      <c r="A23" s="9" t="s">
        <v>87</v>
      </c>
      <c r="B23" s="10">
        <v>8.98</v>
      </c>
      <c r="C23" s="4" t="s">
        <v>8</v>
      </c>
      <c r="D23" s="4" t="s">
        <v>10</v>
      </c>
      <c r="L23" s="4" t="s">
        <v>12</v>
      </c>
      <c r="M23" s="1">
        <v>8.0000000000000002E-3</v>
      </c>
    </row>
    <row r="24" spans="1:21" ht="15" x14ac:dyDescent="0.4">
      <c r="A24" s="9" t="s">
        <v>88</v>
      </c>
      <c r="B24" s="8">
        <v>0</v>
      </c>
      <c r="C24" s="4" t="s">
        <v>8</v>
      </c>
      <c r="D24" s="4" t="s">
        <v>72</v>
      </c>
      <c r="L24" s="4" t="s">
        <v>15</v>
      </c>
      <c r="M24" s="1">
        <v>-0.16919999999999999</v>
      </c>
      <c r="O24" s="45"/>
      <c r="P24" s="45"/>
      <c r="Q24" s="35"/>
      <c r="R24" s="35"/>
      <c r="S24" s="35"/>
      <c r="T24" s="35"/>
      <c r="U24" s="35"/>
    </row>
    <row r="25" spans="1:21" ht="15" x14ac:dyDescent="0.25">
      <c r="A25" s="9" t="s">
        <v>89</v>
      </c>
      <c r="B25" s="11">
        <f>(EXP(-139.3441+157570.1/(B26+273.15)+(-66423080/(B26+273.15)^2)+(12438000000/(B26+273.15)^3)+(-862194900000/(B26+273.15)^4)))*(B27-101325*(EXP((((-216961*(1/(B26+273.15)))-3840.7)*(1/(B26+273.15))+11.8571))))/(101325-101325*(EXP((((-216961*(1/(B26+273.15)))-3840.7)*(1/(B26+273.15))+11.8571))))</f>
        <v>8.9792439550701673</v>
      </c>
      <c r="C25" s="4" t="s">
        <v>8</v>
      </c>
      <c r="D25" s="4" t="s">
        <v>198</v>
      </c>
      <c r="L25" s="4" t="s">
        <v>17</v>
      </c>
      <c r="M25" s="1">
        <v>25.385100000000001</v>
      </c>
      <c r="O25" s="4" t="s">
        <v>75</v>
      </c>
      <c r="Q25" s="35"/>
      <c r="R25" s="35"/>
      <c r="S25" s="35"/>
      <c r="T25" s="35"/>
      <c r="U25" s="35"/>
    </row>
    <row r="26" spans="1:21" ht="15.75" x14ac:dyDescent="0.3">
      <c r="A26" s="8" t="s">
        <v>90</v>
      </c>
      <c r="B26" s="10">
        <v>19.908999999999999</v>
      </c>
      <c r="C26" s="4" t="s">
        <v>13</v>
      </c>
      <c r="D26" s="4" t="s">
        <v>14</v>
      </c>
      <c r="L26" s="4" t="s">
        <v>19</v>
      </c>
      <c r="M26" s="1">
        <v>14.094099999999999</v>
      </c>
      <c r="O26" s="1">
        <f>42.914*1.25608904610271</f>
        <v>53.903805324451703</v>
      </c>
      <c r="P26" s="1" t="s">
        <v>11</v>
      </c>
    </row>
    <row r="27" spans="1:21" ht="15.95" x14ac:dyDescent="0.4">
      <c r="A27" s="8" t="s">
        <v>91</v>
      </c>
      <c r="B27" s="12">
        <v>99915</v>
      </c>
      <c r="C27" s="4" t="s">
        <v>1</v>
      </c>
      <c r="D27" s="4" t="s">
        <v>16</v>
      </c>
      <c r="L27" s="4" t="s">
        <v>21</v>
      </c>
      <c r="M27" s="1">
        <v>-7.0260999999999996</v>
      </c>
      <c r="O27" s="35" t="s">
        <v>76</v>
      </c>
      <c r="P27" s="35"/>
    </row>
    <row r="28" spans="1:21" ht="15.75" x14ac:dyDescent="0.3">
      <c r="A28" s="8" t="s">
        <v>92</v>
      </c>
      <c r="B28" s="10">
        <v>19.899999999999999</v>
      </c>
      <c r="C28" s="4" t="s">
        <v>13</v>
      </c>
      <c r="D28" s="4" t="s">
        <v>18</v>
      </c>
      <c r="L28" s="4" t="s">
        <v>22</v>
      </c>
      <c r="M28" s="1">
        <v>2.7081</v>
      </c>
      <c r="O28" s="56" t="s">
        <v>73</v>
      </c>
      <c r="P28" s="35" t="s">
        <v>56</v>
      </c>
    </row>
    <row r="29" spans="1:21" ht="15.75" x14ac:dyDescent="0.3">
      <c r="A29" s="8" t="s">
        <v>93</v>
      </c>
      <c r="B29" s="10">
        <v>100100</v>
      </c>
      <c r="C29" s="4" t="s">
        <v>1</v>
      </c>
      <c r="D29" s="4" t="s">
        <v>20</v>
      </c>
      <c r="L29" s="4" t="s">
        <v>24</v>
      </c>
      <c r="M29" s="1">
        <v>5.0000000000000001E-4</v>
      </c>
      <c r="O29" s="56" t="s">
        <v>201</v>
      </c>
      <c r="P29" s="35" t="s">
        <v>74</v>
      </c>
    </row>
    <row r="30" spans="1:21" ht="12.6" x14ac:dyDescent="0.25">
      <c r="A30" s="46"/>
      <c r="B30" s="47"/>
      <c r="C30" s="6"/>
      <c r="D30" s="48"/>
      <c r="L30" s="4" t="s">
        <v>26</v>
      </c>
      <c r="M30" s="1">
        <v>-5.5999999999999999E-3</v>
      </c>
    </row>
    <row r="31" spans="1:21" ht="12.95" x14ac:dyDescent="0.3">
      <c r="A31" s="2" t="s">
        <v>23</v>
      </c>
      <c r="B31" s="2"/>
      <c r="C31" s="2"/>
      <c r="D31" s="2"/>
      <c r="F31" s="4" t="s">
        <v>55</v>
      </c>
      <c r="L31" s="4" t="s">
        <v>29</v>
      </c>
      <c r="M31" s="1">
        <v>-6.6E-3</v>
      </c>
    </row>
    <row r="32" spans="1:21" ht="15" x14ac:dyDescent="0.4">
      <c r="A32" s="9" t="s">
        <v>94</v>
      </c>
      <c r="B32" s="13">
        <v>11.16</v>
      </c>
      <c r="C32" s="4" t="s">
        <v>8</v>
      </c>
      <c r="D32" s="4" t="s">
        <v>25</v>
      </c>
      <c r="E32" s="2"/>
      <c r="L32" s="4" t="s">
        <v>31</v>
      </c>
      <c r="M32" s="1">
        <v>-3.7499999999999999E-2</v>
      </c>
    </row>
    <row r="33" spans="1:14" ht="12.6" x14ac:dyDescent="0.25">
      <c r="A33" s="58" t="s">
        <v>27</v>
      </c>
      <c r="B33" s="14">
        <v>3.1</v>
      </c>
      <c r="C33" s="4" t="s">
        <v>11</v>
      </c>
      <c r="D33" s="4" t="s">
        <v>28</v>
      </c>
      <c r="L33" s="4" t="s">
        <v>33</v>
      </c>
      <c r="M33" s="1">
        <v>6.3600000000000004E-2</v>
      </c>
    </row>
    <row r="34" spans="1:14" ht="12.95" x14ac:dyDescent="0.3">
      <c r="A34" s="8" t="s">
        <v>0</v>
      </c>
      <c r="B34" s="74">
        <f>M23+M24*(B33/O26)^0.5+M25*(B33/O26)+M26*(B33/O26)^1.5+M27*(B33/O26)^2+M28*(B33/O26)^2.5+((10/(1+0.0162*10))*(M29+M30*(B33/O26)^0.5+M31*(B33/O26)+M32*(B33/O26)^1.5+M33*(B33/O26)^2+M34*(B33/O26)^2.5))-(M23/(1+1.5*M35*(B33/O26)+(400*(B33/O26))^2))-(M29*(10/(1+0.0162*10))/(1+(M36*(B33/O26))^0.5+(M36*(B33/O26))^1.5))</f>
        <v>1.5870826400793137</v>
      </c>
      <c r="C34" s="4" t="s">
        <v>30</v>
      </c>
      <c r="D34" s="4" t="s">
        <v>199</v>
      </c>
      <c r="L34" s="4" t="s">
        <v>34</v>
      </c>
      <c r="M34" s="1">
        <v>-1.44E-2</v>
      </c>
    </row>
    <row r="35" spans="1:14" ht="15.75" x14ac:dyDescent="0.3">
      <c r="A35" s="8" t="s">
        <v>95</v>
      </c>
      <c r="B35" s="13">
        <v>18.100000000000001</v>
      </c>
      <c r="C35" s="4" t="s">
        <v>13</v>
      </c>
      <c r="D35" s="4" t="s">
        <v>32</v>
      </c>
      <c r="L35" s="4" t="s">
        <v>37</v>
      </c>
      <c r="M35" s="1">
        <v>400</v>
      </c>
      <c r="N35" s="4" t="s">
        <v>38</v>
      </c>
    </row>
    <row r="36" spans="1:14" ht="14.25" x14ac:dyDescent="0.25">
      <c r="A36" s="9" t="s">
        <v>96</v>
      </c>
      <c r="B36" s="13">
        <v>50</v>
      </c>
      <c r="C36" s="4" t="s">
        <v>59</v>
      </c>
      <c r="D36" s="4" t="s">
        <v>66</v>
      </c>
      <c r="L36" s="4" t="s">
        <v>39</v>
      </c>
      <c r="M36" s="1">
        <v>100</v>
      </c>
      <c r="N36" s="4" t="s">
        <v>38</v>
      </c>
    </row>
    <row r="37" spans="1:14" x14ac:dyDescent="0.2">
      <c r="A37" s="9" t="s">
        <v>35</v>
      </c>
      <c r="B37" s="13">
        <v>3</v>
      </c>
      <c r="C37" s="4"/>
      <c r="D37" s="4" t="s">
        <v>36</v>
      </c>
    </row>
    <row r="38" spans="1:14" x14ac:dyDescent="0.2">
      <c r="A38" s="9"/>
      <c r="B38" s="15"/>
      <c r="C38" s="4"/>
      <c r="D38" s="4"/>
    </row>
    <row r="39" spans="1:14" ht="13.5" thickBot="1" x14ac:dyDescent="0.25">
      <c r="A39" s="9"/>
      <c r="C39" s="4"/>
      <c r="D39" s="4"/>
    </row>
    <row r="40" spans="1:14" ht="13.5" thickBot="1" x14ac:dyDescent="0.25">
      <c r="A40" s="117" t="s">
        <v>40</v>
      </c>
      <c r="B40" s="118"/>
      <c r="C40" s="118"/>
      <c r="D40" s="118"/>
      <c r="E40" s="119"/>
      <c r="F40" s="117" t="s">
        <v>41</v>
      </c>
      <c r="G40" s="118"/>
      <c r="H40" s="118"/>
      <c r="I40" s="118"/>
      <c r="J40" s="118"/>
      <c r="K40" s="119"/>
      <c r="L40" s="49"/>
      <c r="M40" s="49"/>
      <c r="N40" s="49"/>
    </row>
    <row r="41" spans="1:14" ht="15" thickBot="1" x14ac:dyDescent="0.3">
      <c r="A41" s="17" t="s">
        <v>42</v>
      </c>
      <c r="B41" s="18" t="s">
        <v>4</v>
      </c>
      <c r="C41" s="19" t="s">
        <v>5</v>
      </c>
      <c r="D41" s="20" t="s">
        <v>43</v>
      </c>
      <c r="E41" s="21" t="s">
        <v>44</v>
      </c>
      <c r="F41" s="120" t="s">
        <v>45</v>
      </c>
      <c r="G41" s="121"/>
      <c r="H41" s="121"/>
      <c r="I41" s="120" t="s">
        <v>46</v>
      </c>
      <c r="J41" s="121"/>
      <c r="K41" s="122"/>
      <c r="L41" s="49"/>
      <c r="M41" s="49"/>
      <c r="N41" s="49"/>
    </row>
    <row r="42" spans="1:14" ht="14.25" x14ac:dyDescent="0.25">
      <c r="A42" s="9" t="s">
        <v>86</v>
      </c>
      <c r="B42" s="22">
        <f>B22</f>
        <v>0</v>
      </c>
      <c r="C42" s="23" t="s">
        <v>8</v>
      </c>
      <c r="D42" s="24">
        <f>SQRT(SUMSQ(F42,I42,L42))</f>
        <v>2.0041623354076683E-2</v>
      </c>
      <c r="E42" s="25"/>
      <c r="F42" s="4">
        <f>0.005/SQRT(3)</f>
        <v>2.886751345948129E-3</v>
      </c>
      <c r="G42" s="9" t="s">
        <v>101</v>
      </c>
      <c r="H42" s="4" t="s">
        <v>47</v>
      </c>
      <c r="I42" s="40">
        <f>B11</f>
        <v>1.9832633040858156E-2</v>
      </c>
      <c r="J42" s="9" t="s">
        <v>78</v>
      </c>
      <c r="K42" s="4" t="s">
        <v>67</v>
      </c>
      <c r="L42" s="22"/>
      <c r="M42" s="22"/>
      <c r="N42" s="22"/>
    </row>
    <row r="43" spans="1:14" ht="14.25" x14ac:dyDescent="0.25">
      <c r="A43" s="9" t="s">
        <v>87</v>
      </c>
      <c r="B43" s="22">
        <f>B23</f>
        <v>8.98</v>
      </c>
      <c r="C43" s="23" t="s">
        <v>8</v>
      </c>
      <c r="D43" s="24">
        <f t="shared" ref="D43:D50" si="0">SQRT(SUMSQ(F43,I43,L43))</f>
        <v>2.0041623354076728E-2</v>
      </c>
      <c r="E43" s="25">
        <f>D43/B43</f>
        <v>2.2318066095853815E-3</v>
      </c>
      <c r="F43" s="4">
        <f>0.005/SQRT(3)</f>
        <v>2.886751345948129E-3</v>
      </c>
      <c r="G43" s="9" t="s">
        <v>102</v>
      </c>
      <c r="H43" s="4" t="s">
        <v>47</v>
      </c>
      <c r="I43" s="40">
        <f>B10</f>
        <v>1.9832633040858201E-2</v>
      </c>
      <c r="J43" s="9" t="s">
        <v>79</v>
      </c>
      <c r="K43" s="4" t="s">
        <v>67</v>
      </c>
      <c r="L43" s="22"/>
      <c r="M43" s="22"/>
      <c r="N43" s="22"/>
    </row>
    <row r="44" spans="1:14" ht="14.25" x14ac:dyDescent="0.25">
      <c r="A44" s="9" t="s">
        <v>88</v>
      </c>
      <c r="B44" s="22">
        <f>B24</f>
        <v>0</v>
      </c>
      <c r="C44" s="23" t="s">
        <v>8</v>
      </c>
      <c r="D44" s="24">
        <f t="shared" si="0"/>
        <v>5.773502691896258E-3</v>
      </c>
      <c r="E44" s="25"/>
      <c r="F44" s="1">
        <f>0.01/SQRT(3)</f>
        <v>5.773502691896258E-3</v>
      </c>
      <c r="G44" s="9" t="s">
        <v>103</v>
      </c>
      <c r="H44" s="57" t="s">
        <v>48</v>
      </c>
      <c r="I44" s="22"/>
      <c r="J44" s="22"/>
      <c r="K44" s="22"/>
      <c r="L44" s="22"/>
      <c r="M44" s="22"/>
      <c r="N44" s="22"/>
    </row>
    <row r="45" spans="1:14" ht="14.25" x14ac:dyDescent="0.25">
      <c r="A45" s="9" t="s">
        <v>89</v>
      </c>
      <c r="B45" s="26">
        <f>B25</f>
        <v>8.9792439550701673</v>
      </c>
      <c r="C45" s="23" t="s">
        <v>8</v>
      </c>
      <c r="D45" s="24">
        <f t="shared" si="0"/>
        <v>3.1E-2</v>
      </c>
      <c r="E45" s="25">
        <f>D45/B45</f>
        <v>3.4524064782197749E-3</v>
      </c>
      <c r="F45" s="22">
        <f>B13</f>
        <v>3.1E-2</v>
      </c>
      <c r="G45" s="9" t="s">
        <v>81</v>
      </c>
      <c r="H45" s="57" t="s">
        <v>202</v>
      </c>
      <c r="I45" s="22"/>
      <c r="J45" s="22"/>
      <c r="K45" s="22"/>
      <c r="L45" s="22"/>
      <c r="M45" s="22"/>
      <c r="N45" s="22"/>
    </row>
    <row r="46" spans="1:14" ht="14.25" x14ac:dyDescent="0.25">
      <c r="A46" s="9" t="s">
        <v>94</v>
      </c>
      <c r="B46" s="26">
        <f>B32</f>
        <v>11.16</v>
      </c>
      <c r="C46" s="23" t="s">
        <v>8</v>
      </c>
      <c r="D46" s="24">
        <f>SQRT(SUMSQ(F46,I46,L46))</f>
        <v>5.1269314921055138E-2</v>
      </c>
      <c r="E46" s="25">
        <f>D46/B46</f>
        <v>4.5940246345031483E-3</v>
      </c>
      <c r="F46" s="4">
        <f>0.005/SQRT(3)</f>
        <v>2.886751345948129E-3</v>
      </c>
      <c r="G46" s="9" t="s">
        <v>104</v>
      </c>
      <c r="H46" s="4" t="s">
        <v>47</v>
      </c>
      <c r="I46" s="40">
        <f>B12</f>
        <v>5.1187980221346824E-2</v>
      </c>
      <c r="J46" s="50" t="s">
        <v>80</v>
      </c>
      <c r="K46" s="4" t="s">
        <v>109</v>
      </c>
      <c r="L46" s="4"/>
      <c r="M46" s="4"/>
      <c r="N46" s="4"/>
    </row>
    <row r="47" spans="1:14" ht="15.75" x14ac:dyDescent="0.3">
      <c r="A47" s="59" t="s">
        <v>49</v>
      </c>
      <c r="B47" s="15">
        <f>(EXP(-139.3441+157570.1/(B35+273.15)+(-66423080/(B35+273.15)^2)+(12438000000/(B35+273.15)^3)+(-862194900000/(B35+273.15)^4)))*($B$27-101325*(EXP((((-216961*(1/(B35+273.15)))-3840.7)*(1/(B35+273.15))+11.8571))))/(101325-101325*(EXP((((-216961*(1/(B35+273.15)))-3840.7)*(1/(B35+273.15))+11.8571))))/((EXP(-139.3441+157570.1/(B35+273.15)+(-66423080/(B35+273.15)^2)+(12438000000/(B35+273.15)^3)+(-862194900000/(B35+273.15)^4)))*($B$27-101325*(EXP((((-216961*(1/(B35+273.15)))-3840.7)*(1/(B35+273.15))+11.8571))))/(101325-101325*(EXP((((-216961*(1/(B35+273.15)))-3840.7)*(1/(B35+273.15))+11.8571))))*EXP(-B34*(0.017674-10.754/(B35+273.15)+2140.7/((B35+273.15)^2))))</f>
        <v>1.0095464988244602</v>
      </c>
      <c r="C47" s="23" t="s">
        <v>50</v>
      </c>
      <c r="D47" s="24">
        <f>SQRT(SUMSQ(F47,I47,L47))</f>
        <v>2.755836833060282E-3</v>
      </c>
      <c r="E47" s="25">
        <f>D47/B47</f>
        <v>2.729777019948307E-3</v>
      </c>
      <c r="F47" s="4">
        <f>(B47-1)*0.5/SQRT(3)</f>
        <v>2.755836833060282E-3</v>
      </c>
      <c r="G47" s="28" t="s">
        <v>69</v>
      </c>
      <c r="H47" s="4"/>
      <c r="I47" s="4"/>
      <c r="J47" s="4"/>
      <c r="K47" s="4"/>
      <c r="L47" s="4"/>
      <c r="M47" s="4"/>
      <c r="N47" s="4"/>
    </row>
    <row r="48" spans="1:14" ht="15.75" x14ac:dyDescent="0.3">
      <c r="A48" s="9" t="s">
        <v>97</v>
      </c>
      <c r="B48" s="27">
        <v>0</v>
      </c>
      <c r="C48" s="23" t="s">
        <v>8</v>
      </c>
      <c r="D48" s="24">
        <f t="shared" si="0"/>
        <v>4.7081513637087027E-2</v>
      </c>
      <c r="E48" s="25"/>
      <c r="F48" s="4">
        <f>B14*B36*B32/100/SQRT(3)</f>
        <v>4.7081513637087027E-2</v>
      </c>
      <c r="G48" s="28" t="s">
        <v>105</v>
      </c>
      <c r="H48" s="4"/>
      <c r="I48" s="4"/>
      <c r="J48" s="4"/>
      <c r="K48" s="4"/>
      <c r="L48" s="4"/>
      <c r="M48" s="4"/>
      <c r="N48" s="4"/>
    </row>
    <row r="49" spans="1:16" ht="15.75" x14ac:dyDescent="0.3">
      <c r="A49" s="9" t="s">
        <v>98</v>
      </c>
      <c r="B49" s="27">
        <v>0</v>
      </c>
      <c r="C49" s="23" t="s">
        <v>8</v>
      </c>
      <c r="D49" s="24">
        <f t="shared" si="0"/>
        <v>9.0009937688966847E-3</v>
      </c>
      <c r="E49" s="25"/>
      <c r="F49" s="4">
        <f>(B35-B28)*B15/100*B32/SQRT(3)</f>
        <v>9.0009937688966847E-3</v>
      </c>
      <c r="G49" s="28" t="s">
        <v>106</v>
      </c>
      <c r="H49" s="4"/>
      <c r="I49" s="4"/>
      <c r="J49" s="4"/>
      <c r="K49" s="4"/>
      <c r="L49" s="4"/>
      <c r="M49" s="4"/>
      <c r="N49" s="4"/>
    </row>
    <row r="50" spans="1:16" ht="15.75" x14ac:dyDescent="0.3">
      <c r="A50" s="9" t="s">
        <v>99</v>
      </c>
      <c r="B50" s="27">
        <v>0</v>
      </c>
      <c r="C50" s="23" t="s">
        <v>8</v>
      </c>
      <c r="D50" s="24">
        <f t="shared" si="0"/>
        <v>8.067210928815377E-3</v>
      </c>
      <c r="E50" s="25"/>
      <c r="F50" s="4">
        <f>(ABS(B16)+B17)*B37/SQRT(3)</f>
        <v>8.067210928815377E-3</v>
      </c>
      <c r="G50" s="28" t="s">
        <v>127</v>
      </c>
      <c r="H50" s="4"/>
      <c r="I50" s="4"/>
      <c r="J50" s="4"/>
      <c r="K50" s="4"/>
      <c r="L50" s="4"/>
      <c r="M50" s="4"/>
      <c r="N50" s="4"/>
    </row>
    <row r="51" spans="1:16" x14ac:dyDescent="0.2">
      <c r="A51" s="9"/>
      <c r="B51" s="27"/>
      <c r="C51" s="23"/>
      <c r="D51" s="24"/>
      <c r="E51" s="25"/>
      <c r="G51" s="28"/>
    </row>
    <row r="52" spans="1:16" x14ac:dyDescent="0.2">
      <c r="A52" s="9"/>
      <c r="C52" s="23"/>
      <c r="D52" s="24"/>
      <c r="E52" s="29"/>
      <c r="G52" s="28"/>
    </row>
    <row r="53" spans="1:16" x14ac:dyDescent="0.2">
      <c r="A53" s="9"/>
      <c r="B53" s="27"/>
      <c r="C53" s="23"/>
      <c r="D53" s="24"/>
      <c r="E53" s="29"/>
      <c r="G53" s="28"/>
    </row>
    <row r="54" spans="1:16" ht="15" thickBot="1" x14ac:dyDescent="0.3">
      <c r="A54" s="17" t="s">
        <v>42</v>
      </c>
      <c r="B54" s="18" t="s">
        <v>4</v>
      </c>
      <c r="C54" s="19" t="s">
        <v>5</v>
      </c>
      <c r="D54" s="20" t="s">
        <v>43</v>
      </c>
      <c r="G54" s="9" t="s">
        <v>86</v>
      </c>
      <c r="H54" s="9" t="s">
        <v>87</v>
      </c>
      <c r="I54" s="9" t="s">
        <v>88</v>
      </c>
      <c r="J54" s="9" t="s">
        <v>89</v>
      </c>
      <c r="K54" s="9" t="s">
        <v>94</v>
      </c>
      <c r="L54" s="59" t="s">
        <v>49</v>
      </c>
      <c r="M54" s="9" t="s">
        <v>97</v>
      </c>
      <c r="N54" s="9" t="s">
        <v>98</v>
      </c>
      <c r="O54" s="9" t="s">
        <v>99</v>
      </c>
      <c r="P54" s="9"/>
    </row>
    <row r="55" spans="1:16" ht="14.25" x14ac:dyDescent="0.25">
      <c r="A55" s="9" t="s">
        <v>86</v>
      </c>
      <c r="B55" s="22">
        <f>B42</f>
        <v>0</v>
      </c>
      <c r="C55" s="23" t="s">
        <v>8</v>
      </c>
      <c r="D55" s="24">
        <f>D42</f>
        <v>2.0041623354076683E-2</v>
      </c>
      <c r="G55" s="30">
        <f>$B55+$D55</f>
        <v>2.0041623354076683E-2</v>
      </c>
      <c r="H55" s="1">
        <f t="shared" ref="H55:O55" si="1">$B55</f>
        <v>0</v>
      </c>
      <c r="I55" s="1">
        <f t="shared" si="1"/>
        <v>0</v>
      </c>
      <c r="J55" s="1">
        <f t="shared" si="1"/>
        <v>0</v>
      </c>
      <c r="K55" s="1">
        <f t="shared" si="1"/>
        <v>0</v>
      </c>
      <c r="L55" s="1">
        <f t="shared" si="1"/>
        <v>0</v>
      </c>
      <c r="M55" s="1">
        <f t="shared" si="1"/>
        <v>0</v>
      </c>
      <c r="N55" s="1">
        <f t="shared" si="1"/>
        <v>0</v>
      </c>
      <c r="O55" s="1">
        <f t="shared" si="1"/>
        <v>0</v>
      </c>
      <c r="P55" s="16"/>
    </row>
    <row r="56" spans="1:16" ht="14.25" x14ac:dyDescent="0.25">
      <c r="A56" s="9" t="s">
        <v>87</v>
      </c>
      <c r="B56" s="22">
        <f t="shared" ref="B56:B63" si="2">B43</f>
        <v>8.98</v>
      </c>
      <c r="C56" s="23" t="s">
        <v>8</v>
      </c>
      <c r="D56" s="24">
        <f t="shared" ref="D56:D63" si="3">D43</f>
        <v>2.0041623354076728E-2</v>
      </c>
      <c r="G56" s="1">
        <f t="shared" ref="G56:O63" si="4">$B56</f>
        <v>8.98</v>
      </c>
      <c r="H56" s="30">
        <f>$B56+$D56</f>
        <v>9.0000416233540772</v>
      </c>
      <c r="I56" s="1">
        <f t="shared" si="4"/>
        <v>8.98</v>
      </c>
      <c r="J56" s="1">
        <f t="shared" si="4"/>
        <v>8.98</v>
      </c>
      <c r="K56" s="1">
        <f t="shared" si="4"/>
        <v>8.98</v>
      </c>
      <c r="L56" s="1">
        <f t="shared" si="4"/>
        <v>8.98</v>
      </c>
      <c r="M56" s="1">
        <f t="shared" si="4"/>
        <v>8.98</v>
      </c>
      <c r="N56" s="1">
        <f t="shared" si="4"/>
        <v>8.98</v>
      </c>
      <c r="O56" s="1">
        <f t="shared" si="4"/>
        <v>8.98</v>
      </c>
      <c r="P56" s="16"/>
    </row>
    <row r="57" spans="1:16" ht="14.25" x14ac:dyDescent="0.25">
      <c r="A57" s="9" t="s">
        <v>88</v>
      </c>
      <c r="B57" s="22">
        <f t="shared" si="2"/>
        <v>0</v>
      </c>
      <c r="C57" s="23" t="s">
        <v>8</v>
      </c>
      <c r="D57" s="24">
        <f t="shared" si="3"/>
        <v>5.773502691896258E-3</v>
      </c>
      <c r="G57" s="1">
        <f t="shared" si="4"/>
        <v>0</v>
      </c>
      <c r="H57" s="1">
        <f t="shared" si="4"/>
        <v>0</v>
      </c>
      <c r="I57" s="30">
        <f>$B57+$D57</f>
        <v>5.773502691896258E-3</v>
      </c>
      <c r="J57" s="1">
        <f t="shared" si="4"/>
        <v>0</v>
      </c>
      <c r="K57" s="1">
        <f t="shared" si="4"/>
        <v>0</v>
      </c>
      <c r="L57" s="1">
        <f t="shared" si="4"/>
        <v>0</v>
      </c>
      <c r="M57" s="1">
        <f t="shared" si="4"/>
        <v>0</v>
      </c>
      <c r="N57" s="1">
        <f t="shared" si="4"/>
        <v>0</v>
      </c>
      <c r="O57" s="1">
        <f t="shared" si="4"/>
        <v>0</v>
      </c>
      <c r="P57" s="16"/>
    </row>
    <row r="58" spans="1:16" ht="14.25" x14ac:dyDescent="0.25">
      <c r="A58" s="9" t="s">
        <v>89</v>
      </c>
      <c r="B58" s="22">
        <f t="shared" si="2"/>
        <v>8.9792439550701673</v>
      </c>
      <c r="C58" s="23" t="s">
        <v>8</v>
      </c>
      <c r="D58" s="24">
        <f t="shared" si="3"/>
        <v>3.1E-2</v>
      </c>
      <c r="G58" s="1">
        <f t="shared" si="4"/>
        <v>8.9792439550701673</v>
      </c>
      <c r="H58" s="1">
        <f t="shared" si="4"/>
        <v>8.9792439550701673</v>
      </c>
      <c r="I58" s="1">
        <f t="shared" si="4"/>
        <v>8.9792439550701673</v>
      </c>
      <c r="J58" s="30">
        <f>$B58+$D58</f>
        <v>9.0102439550701678</v>
      </c>
      <c r="K58" s="1">
        <f t="shared" si="4"/>
        <v>8.9792439550701673</v>
      </c>
      <c r="L58" s="1">
        <f t="shared" si="4"/>
        <v>8.9792439550701673</v>
      </c>
      <c r="M58" s="1">
        <f t="shared" si="4"/>
        <v>8.9792439550701673</v>
      </c>
      <c r="N58" s="1">
        <f t="shared" si="4"/>
        <v>8.9792439550701673</v>
      </c>
      <c r="O58" s="1">
        <f t="shared" si="4"/>
        <v>8.9792439550701673</v>
      </c>
      <c r="P58" s="16"/>
    </row>
    <row r="59" spans="1:16" ht="14.25" x14ac:dyDescent="0.25">
      <c r="A59" s="9" t="s">
        <v>94</v>
      </c>
      <c r="B59" s="22">
        <f t="shared" si="2"/>
        <v>11.16</v>
      </c>
      <c r="C59" s="23" t="s">
        <v>8</v>
      </c>
      <c r="D59" s="24">
        <f t="shared" si="3"/>
        <v>5.1269314921055138E-2</v>
      </c>
      <c r="E59" s="6"/>
      <c r="G59" s="1">
        <f t="shared" si="4"/>
        <v>11.16</v>
      </c>
      <c r="H59" s="1">
        <f t="shared" si="4"/>
        <v>11.16</v>
      </c>
      <c r="I59" s="1">
        <f t="shared" si="4"/>
        <v>11.16</v>
      </c>
      <c r="J59" s="1">
        <f t="shared" si="4"/>
        <v>11.16</v>
      </c>
      <c r="K59" s="30">
        <f>$B59+$D59</f>
        <v>11.211269314921056</v>
      </c>
      <c r="L59" s="1">
        <f t="shared" si="4"/>
        <v>11.16</v>
      </c>
      <c r="M59" s="1">
        <f t="shared" si="4"/>
        <v>11.16</v>
      </c>
      <c r="N59" s="1">
        <f t="shared" si="4"/>
        <v>11.16</v>
      </c>
      <c r="O59" s="1">
        <f t="shared" si="4"/>
        <v>11.16</v>
      </c>
      <c r="P59" s="16"/>
    </row>
    <row r="60" spans="1:16" x14ac:dyDescent="0.2">
      <c r="A60" s="59" t="s">
        <v>49</v>
      </c>
      <c r="B60" s="22">
        <f t="shared" si="2"/>
        <v>1.0095464988244602</v>
      </c>
      <c r="C60" s="23" t="s">
        <v>50</v>
      </c>
      <c r="D60" s="24">
        <f t="shared" si="3"/>
        <v>2.755836833060282E-3</v>
      </c>
      <c r="G60" s="1">
        <f t="shared" si="4"/>
        <v>1.0095464988244602</v>
      </c>
      <c r="H60" s="1">
        <f t="shared" si="4"/>
        <v>1.0095464988244602</v>
      </c>
      <c r="I60" s="1">
        <f t="shared" si="4"/>
        <v>1.0095464988244602</v>
      </c>
      <c r="J60" s="1">
        <f t="shared" si="4"/>
        <v>1.0095464988244602</v>
      </c>
      <c r="K60" s="1">
        <f t="shared" si="4"/>
        <v>1.0095464988244602</v>
      </c>
      <c r="L60" s="30">
        <f>$B60+$D60</f>
        <v>1.0123023356575205</v>
      </c>
      <c r="M60" s="1">
        <f t="shared" si="4"/>
        <v>1.0095464988244602</v>
      </c>
      <c r="N60" s="1">
        <f t="shared" si="4"/>
        <v>1.0095464988244602</v>
      </c>
      <c r="O60" s="1">
        <f t="shared" si="4"/>
        <v>1.0095464988244602</v>
      </c>
      <c r="P60" s="16"/>
    </row>
    <row r="61" spans="1:16" ht="14.25" x14ac:dyDescent="0.25">
      <c r="A61" s="9" t="s">
        <v>97</v>
      </c>
      <c r="B61" s="22">
        <f t="shared" si="2"/>
        <v>0</v>
      </c>
      <c r="C61" s="23" t="s">
        <v>8</v>
      </c>
      <c r="D61" s="24">
        <f t="shared" si="3"/>
        <v>4.7081513637087027E-2</v>
      </c>
      <c r="G61" s="1">
        <f t="shared" si="4"/>
        <v>0</v>
      </c>
      <c r="H61" s="1">
        <f t="shared" si="4"/>
        <v>0</v>
      </c>
      <c r="I61" s="1">
        <f t="shared" si="4"/>
        <v>0</v>
      </c>
      <c r="J61" s="1">
        <f t="shared" si="4"/>
        <v>0</v>
      </c>
      <c r="K61" s="1">
        <f t="shared" si="4"/>
        <v>0</v>
      </c>
      <c r="L61" s="1">
        <f t="shared" si="4"/>
        <v>0</v>
      </c>
      <c r="M61" s="30">
        <f>$B61+$D61</f>
        <v>4.7081513637087027E-2</v>
      </c>
      <c r="N61" s="1">
        <f t="shared" si="4"/>
        <v>0</v>
      </c>
      <c r="O61" s="1">
        <f t="shared" si="4"/>
        <v>0</v>
      </c>
      <c r="P61" s="16"/>
    </row>
    <row r="62" spans="1:16" ht="14.25" x14ac:dyDescent="0.25">
      <c r="A62" s="9" t="s">
        <v>98</v>
      </c>
      <c r="B62" s="22">
        <f t="shared" si="2"/>
        <v>0</v>
      </c>
      <c r="C62" s="23" t="s">
        <v>8</v>
      </c>
      <c r="D62" s="24">
        <f t="shared" si="3"/>
        <v>9.0009937688966847E-3</v>
      </c>
      <c r="G62" s="1">
        <f t="shared" si="4"/>
        <v>0</v>
      </c>
      <c r="H62" s="1">
        <f t="shared" si="4"/>
        <v>0</v>
      </c>
      <c r="I62" s="1">
        <f t="shared" si="4"/>
        <v>0</v>
      </c>
      <c r="J62" s="1">
        <f t="shared" si="4"/>
        <v>0</v>
      </c>
      <c r="K62" s="1">
        <f t="shared" si="4"/>
        <v>0</v>
      </c>
      <c r="L62" s="1">
        <f t="shared" si="4"/>
        <v>0</v>
      </c>
      <c r="M62" s="1">
        <f t="shared" si="4"/>
        <v>0</v>
      </c>
      <c r="N62" s="30">
        <f>$B62+$D62</f>
        <v>9.0009937688966847E-3</v>
      </c>
      <c r="O62" s="1">
        <f t="shared" si="4"/>
        <v>0</v>
      </c>
      <c r="P62" s="16"/>
    </row>
    <row r="63" spans="1:16" ht="14.25" x14ac:dyDescent="0.25">
      <c r="A63" s="9" t="s">
        <v>99</v>
      </c>
      <c r="B63" s="22">
        <f t="shared" si="2"/>
        <v>0</v>
      </c>
      <c r="C63" s="23" t="s">
        <v>8</v>
      </c>
      <c r="D63" s="24">
        <f t="shared" si="3"/>
        <v>8.067210928815377E-3</v>
      </c>
      <c r="G63" s="1">
        <f t="shared" si="4"/>
        <v>0</v>
      </c>
      <c r="H63" s="1">
        <f t="shared" si="4"/>
        <v>0</v>
      </c>
      <c r="I63" s="1">
        <f t="shared" si="4"/>
        <v>0</v>
      </c>
      <c r="J63" s="1">
        <f t="shared" si="4"/>
        <v>0</v>
      </c>
      <c r="K63" s="1">
        <f t="shared" si="4"/>
        <v>0</v>
      </c>
      <c r="L63" s="1">
        <f t="shared" si="4"/>
        <v>0</v>
      </c>
      <c r="M63" s="1">
        <f t="shared" si="4"/>
        <v>0</v>
      </c>
      <c r="N63" s="1">
        <f t="shared" si="4"/>
        <v>0</v>
      </c>
      <c r="O63" s="30">
        <f>$B63+$D63</f>
        <v>8.067210928815377E-3</v>
      </c>
      <c r="P63" s="16"/>
    </row>
    <row r="64" spans="1:16" x14ac:dyDescent="0.2">
      <c r="A64" s="9"/>
      <c r="B64" s="22"/>
      <c r="C64" s="23"/>
      <c r="D64" s="24"/>
      <c r="P64" s="16"/>
    </row>
    <row r="65" spans="1:16" x14ac:dyDescent="0.2">
      <c r="P65" s="16"/>
    </row>
    <row r="66" spans="1:16" ht="15.75" x14ac:dyDescent="0.3">
      <c r="A66" s="4" t="s">
        <v>51</v>
      </c>
      <c r="B66" s="31">
        <f>(B59+B61+B62+B63)/B60/((B56-B55)/(B58-B57))-((B55*B58-B57*B56)/(B58-B57))/((B56-B55)/(B58-B57))</f>
        <v>11.053537830419058</v>
      </c>
      <c r="C66" s="23" t="s">
        <v>8</v>
      </c>
      <c r="E66" s="51"/>
      <c r="F66" s="51"/>
      <c r="G66" s="31">
        <f>(G59+G61+G62+G63)/G60/((G56-G55)/(G58-G57))-((G55*G58-G57*G56)/(G58-G57))/((G56-G55)/(G58-G57))</f>
        <v>11.058177608287199</v>
      </c>
      <c r="H66" s="31">
        <f t="shared" ref="H66:O66" si="5">(H59+H61+H62+H63)/H60/((H56-H55)/(H58-H57))-((H55*H58-H57*H56)/(H58-H57))/((H56-H55)/(H58-H57))</f>
        <v>11.028923406264347</v>
      </c>
      <c r="I66" s="31">
        <f t="shared" si="5"/>
        <v>11.052204094379249</v>
      </c>
      <c r="J66" s="31">
        <f t="shared" si="5"/>
        <v>11.091699136032046</v>
      </c>
      <c r="K66" s="31">
        <f t="shared" si="5"/>
        <v>11.104318055510417</v>
      </c>
      <c r="L66" s="31">
        <f t="shared" si="5"/>
        <v>11.023446280083053</v>
      </c>
      <c r="M66" s="31">
        <f t="shared" si="5"/>
        <v>11.100170204263229</v>
      </c>
      <c r="N66" s="31">
        <f t="shared" si="5"/>
        <v>11.062452958119406</v>
      </c>
      <c r="O66" s="31">
        <f t="shared" si="5"/>
        <v>11.06152808321365</v>
      </c>
      <c r="P66" s="16"/>
    </row>
    <row r="67" spans="1:16" ht="15.75" x14ac:dyDescent="0.3">
      <c r="A67" s="4" t="s">
        <v>52</v>
      </c>
      <c r="B67" s="32">
        <f>SQRT(O69)</f>
        <v>8.8811576424339428E-2</v>
      </c>
      <c r="C67" s="4" t="s">
        <v>8</v>
      </c>
      <c r="G67" s="1">
        <f>G66-$B$66</f>
        <v>4.6397778681406265E-3</v>
      </c>
      <c r="H67" s="1">
        <f t="shared" ref="H67:O67" si="6">H66-$B$66</f>
        <v>-2.4614424154711045E-2</v>
      </c>
      <c r="I67" s="1">
        <f t="shared" si="6"/>
        <v>-1.3337360398093523E-3</v>
      </c>
      <c r="J67" s="1">
        <f t="shared" si="6"/>
        <v>3.8161305612987917E-2</v>
      </c>
      <c r="K67" s="1">
        <f t="shared" si="6"/>
        <v>5.0780225091358488E-2</v>
      </c>
      <c r="L67" s="1">
        <f t="shared" si="6"/>
        <v>-3.0091550336004858E-2</v>
      </c>
      <c r="M67" s="1">
        <f t="shared" si="6"/>
        <v>4.6632373844170516E-2</v>
      </c>
      <c r="N67" s="1">
        <f t="shared" si="6"/>
        <v>8.91512770034808E-3</v>
      </c>
      <c r="O67" s="1">
        <f t="shared" si="6"/>
        <v>7.9902527945918678E-3</v>
      </c>
      <c r="P67" s="16"/>
    </row>
    <row r="68" spans="1:16" ht="15.75" x14ac:dyDescent="0.3">
      <c r="A68" s="33" t="s">
        <v>53</v>
      </c>
      <c r="B68" s="34">
        <f>B67*2</f>
        <v>0.17762315284867886</v>
      </c>
      <c r="C68" s="33" t="s">
        <v>54</v>
      </c>
      <c r="G68" s="1">
        <f>G67^2</f>
        <v>2.1527538665687578E-5</v>
      </c>
      <c r="H68" s="1">
        <f t="shared" ref="H68:O68" si="7">H67^2</f>
        <v>6.058698764680226E-4</v>
      </c>
      <c r="I68" s="1">
        <f t="shared" si="7"/>
        <v>1.7788518238863341E-6</v>
      </c>
      <c r="J68" s="1">
        <f t="shared" si="7"/>
        <v>1.4562852460878631E-3</v>
      </c>
      <c r="K68" s="1">
        <f t="shared" si="7"/>
        <v>2.578631260329034E-3</v>
      </c>
      <c r="L68" s="1">
        <f t="shared" si="7"/>
        <v>9.0550140162431406E-4</v>
      </c>
      <c r="M68" s="1">
        <f t="shared" si="7"/>
        <v>2.1745782903424783E-3</v>
      </c>
      <c r="N68" s="1">
        <f t="shared" si="7"/>
        <v>7.9479501913513642E-5</v>
      </c>
      <c r="O68" s="1">
        <f t="shared" si="7"/>
        <v>6.3844139721483156E-5</v>
      </c>
      <c r="P68" s="16"/>
    </row>
    <row r="69" spans="1:16" ht="15.75" x14ac:dyDescent="0.3">
      <c r="A69" s="33" t="s">
        <v>70</v>
      </c>
      <c r="B69" s="53">
        <f>B68/B66*100</f>
        <v>1.6069348617043171</v>
      </c>
      <c r="C69" s="33" t="s">
        <v>71</v>
      </c>
      <c r="O69" s="1">
        <f>SUM(G68:O68)</f>
        <v>7.8874961069762828E-3</v>
      </c>
      <c r="P69" s="16"/>
    </row>
    <row r="70" spans="1:16" ht="15" x14ac:dyDescent="0.25">
      <c r="B70" s="4"/>
      <c r="E70" s="4" t="s">
        <v>55</v>
      </c>
      <c r="G70" s="89">
        <f t="shared" ref="G70:O70" si="8">G68/$O$69</f>
        <v>2.729324791253721E-3</v>
      </c>
      <c r="H70" s="89">
        <f t="shared" si="8"/>
        <v>7.681396836851008E-2</v>
      </c>
      <c r="I70" s="89">
        <f t="shared" si="8"/>
        <v>2.2552807630712952E-4</v>
      </c>
      <c r="J70" s="89">
        <f t="shared" si="8"/>
        <v>0.1846321350066743</v>
      </c>
      <c r="K70" s="89">
        <f t="shared" si="8"/>
        <v>0.32692647011873671</v>
      </c>
      <c r="L70" s="89">
        <f t="shared" si="8"/>
        <v>0.11480213610798766</v>
      </c>
      <c r="M70" s="89">
        <f t="shared" si="8"/>
        <v>0.27569944388550899</v>
      </c>
      <c r="N70" s="89">
        <f t="shared" si="8"/>
        <v>1.0076645469684113E-2</v>
      </c>
      <c r="O70" s="89">
        <f t="shared" si="8"/>
        <v>8.0943481753372529E-3</v>
      </c>
      <c r="P70" s="54"/>
    </row>
    <row r="71" spans="1:16" x14ac:dyDescent="0.2">
      <c r="O71" s="52">
        <f>SUM(G70:O70)</f>
        <v>1</v>
      </c>
      <c r="P71" s="16"/>
    </row>
  </sheetData>
  <mergeCells count="4">
    <mergeCell ref="A40:E40"/>
    <mergeCell ref="F40:K40"/>
    <mergeCell ref="F41:H41"/>
    <mergeCell ref="I41:K41"/>
  </mergeCells>
  <pageMargins left="0.7" right="0.7" top="0.75" bottom="0.75" header="0.3" footer="0.3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20481" r:id="rId4">
          <objectPr defaultSize="0" autoPict="0" r:id="rId5">
            <anchor moveWithCells="1" sizeWithCells="1">
              <from>
                <xdr:col>6</xdr:col>
                <xdr:colOff>161925</xdr:colOff>
                <xdr:row>2</xdr:row>
                <xdr:rowOff>85725</xdr:rowOff>
              </from>
              <to>
                <xdr:col>9</xdr:col>
                <xdr:colOff>190500</xdr:colOff>
                <xdr:row>5</xdr:row>
                <xdr:rowOff>57150</xdr:rowOff>
              </to>
            </anchor>
          </objectPr>
        </oleObject>
      </mc:Choice>
      <mc:Fallback>
        <oleObject progId="Equation.3" shapeId="20481" r:id="rId4"/>
      </mc:Fallback>
    </mc:AlternateContent>
    <mc:AlternateContent xmlns:mc="http://schemas.openxmlformats.org/markup-compatibility/2006">
      <mc:Choice Requires="x14">
        <oleObject progId="Equation.3" shapeId="20482" r:id="rId6">
          <objectPr defaultSize="0" autoPict="0" r:id="rId7">
            <anchor moveWithCells="1" sizeWithCells="1">
              <from>
                <xdr:col>9</xdr:col>
                <xdr:colOff>514350</xdr:colOff>
                <xdr:row>2</xdr:row>
                <xdr:rowOff>9525</xdr:rowOff>
              </from>
              <to>
                <xdr:col>12</xdr:col>
                <xdr:colOff>85725</xdr:colOff>
                <xdr:row>4</xdr:row>
                <xdr:rowOff>142875</xdr:rowOff>
              </to>
            </anchor>
          </objectPr>
        </oleObject>
      </mc:Choice>
      <mc:Fallback>
        <oleObject progId="Equation.3" shapeId="20482" r:id="rId6"/>
      </mc:Fallback>
    </mc:AlternateContent>
    <mc:AlternateContent xmlns:mc="http://schemas.openxmlformats.org/markup-compatibility/2006">
      <mc:Choice Requires="x14">
        <oleObject progId="Equation.3" shapeId="20483" r:id="rId8">
          <objectPr defaultSize="0" autoPict="0" r:id="rId9">
            <anchor moveWithCells="1" sizeWithCells="1">
              <from>
                <xdr:col>0</xdr:col>
                <xdr:colOff>533400</xdr:colOff>
                <xdr:row>2</xdr:row>
                <xdr:rowOff>57150</xdr:rowOff>
              </from>
              <to>
                <xdr:col>5</xdr:col>
                <xdr:colOff>381000</xdr:colOff>
                <xdr:row>5</xdr:row>
                <xdr:rowOff>28575</xdr:rowOff>
              </to>
            </anchor>
          </objectPr>
        </oleObject>
      </mc:Choice>
      <mc:Fallback>
        <oleObject progId="Equation.3" shapeId="20483" r:id="rId8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zoomScaleNormal="100" workbookViewId="0"/>
  </sheetViews>
  <sheetFormatPr defaultColWidth="8.7109375" defaultRowHeight="12.75" x14ac:dyDescent="0.2"/>
  <cols>
    <col min="1" max="11" width="8.7109375" style="61"/>
    <col min="12" max="12" width="19.28515625" style="61" customWidth="1"/>
    <col min="13" max="16384" width="8.7109375" style="61"/>
  </cols>
  <sheetData>
    <row r="1" spans="1:18" ht="12.95" x14ac:dyDescent="0.3">
      <c r="A1" s="60" t="s">
        <v>196</v>
      </c>
    </row>
    <row r="2" spans="1:18" ht="12.95" x14ac:dyDescent="0.3">
      <c r="H2" s="66"/>
      <c r="M2" s="123" t="s">
        <v>128</v>
      </c>
      <c r="N2" s="123"/>
      <c r="O2" s="123"/>
      <c r="P2" s="123"/>
      <c r="Q2" s="124" t="s">
        <v>129</v>
      </c>
      <c r="R2" s="124"/>
    </row>
    <row r="3" spans="1:18" ht="15" x14ac:dyDescent="0.4">
      <c r="A3" s="63" t="s">
        <v>2</v>
      </c>
      <c r="H3" s="66"/>
      <c r="M3" s="75" t="s">
        <v>130</v>
      </c>
      <c r="N3" s="75" t="s">
        <v>131</v>
      </c>
      <c r="O3" s="75" t="s">
        <v>132</v>
      </c>
      <c r="P3" s="76" t="s">
        <v>133</v>
      </c>
      <c r="Q3" s="85" t="s">
        <v>140</v>
      </c>
      <c r="R3" s="85" t="s">
        <v>134</v>
      </c>
    </row>
    <row r="4" spans="1:18" ht="14.45" x14ac:dyDescent="0.3">
      <c r="A4" s="64" t="s">
        <v>110</v>
      </c>
      <c r="H4" s="66"/>
      <c r="I4" s="67"/>
      <c r="M4" s="77">
        <v>2.8165360294310142E-3</v>
      </c>
      <c r="N4" s="77">
        <v>6.6717298392158318E-3</v>
      </c>
      <c r="O4" s="78">
        <v>1.7575512518696154E-3</v>
      </c>
      <c r="P4" s="77">
        <v>1.1292062197001624E-2</v>
      </c>
      <c r="Q4" s="82">
        <v>1.0987120694573003E-3</v>
      </c>
      <c r="R4" s="86">
        <v>30</v>
      </c>
    </row>
    <row r="5" spans="1:18" ht="14.45" x14ac:dyDescent="0.25">
      <c r="A5" s="62" t="s">
        <v>111</v>
      </c>
      <c r="M5" s="77">
        <v>1.2829008674228391E-2</v>
      </c>
      <c r="N5" s="77">
        <v>5.564822950247501E-3</v>
      </c>
      <c r="O5" s="78">
        <v>1.2110355129107268E-3</v>
      </c>
      <c r="P5" s="77">
        <v>9.6263641438715866E-3</v>
      </c>
      <c r="Q5" s="82">
        <v>9.733071375292011E-4</v>
      </c>
      <c r="R5" s="86">
        <v>30</v>
      </c>
    </row>
    <row r="6" spans="1:18" ht="14.45" x14ac:dyDescent="0.25">
      <c r="A6" s="62" t="s">
        <v>112</v>
      </c>
      <c r="M6" s="77">
        <v>1.3555173228095713E-2</v>
      </c>
      <c r="N6" s="77">
        <v>3.628581412234517E-3</v>
      </c>
      <c r="O6" s="78">
        <v>-2.510974476664444E-3</v>
      </c>
      <c r="P6" s="77">
        <v>1.4901504458599949E-2</v>
      </c>
      <c r="Q6" s="82">
        <v>7.8716761271507786E-4</v>
      </c>
      <c r="R6" s="86">
        <v>30</v>
      </c>
    </row>
    <row r="7" spans="1:18" ht="14.45" x14ac:dyDescent="0.25">
      <c r="A7" s="62" t="s">
        <v>135</v>
      </c>
      <c r="M7" s="77">
        <v>1.4316978579890642E-2</v>
      </c>
      <c r="N7" s="77">
        <v>1.2367977058847285E-3</v>
      </c>
      <c r="O7" s="78">
        <v>-2.3979501933512441E-3</v>
      </c>
      <c r="P7" s="77">
        <v>1.8417153886475756E-2</v>
      </c>
      <c r="Q7" s="82">
        <v>8.6085083760664097E-4</v>
      </c>
      <c r="R7" s="83">
        <v>210</v>
      </c>
    </row>
    <row r="8" spans="1:18" ht="14.45" x14ac:dyDescent="0.25">
      <c r="A8" s="62" t="s">
        <v>113</v>
      </c>
      <c r="M8" s="77">
        <v>6.5232610742052364E-3</v>
      </c>
      <c r="N8" s="77">
        <v>-1.2093272310854178E-2</v>
      </c>
      <c r="O8" s="78">
        <v>-4.075074776791361E-3</v>
      </c>
      <c r="P8" s="77"/>
    </row>
    <row r="9" spans="1:18" ht="14.45" x14ac:dyDescent="0.25">
      <c r="M9" s="77">
        <v>1.427909097800488E-2</v>
      </c>
      <c r="N9" s="77">
        <v>-1.1048195875143956E-2</v>
      </c>
      <c r="O9" s="78"/>
      <c r="P9" s="77"/>
    </row>
    <row r="10" spans="1:18" ht="15.6" x14ac:dyDescent="0.4">
      <c r="A10" s="62" t="s">
        <v>136</v>
      </c>
      <c r="B10" s="65">
        <f>SQRT(SUMSQ(M4:P20)/COUNT(M4:P20))</f>
        <v>1.3113193095677506E-2</v>
      </c>
      <c r="C10" s="65"/>
      <c r="M10" s="77">
        <v>1.1183216887301985E-2</v>
      </c>
      <c r="N10" s="77">
        <v>-2.1375694127006548E-2</v>
      </c>
      <c r="O10" s="79"/>
      <c r="P10" s="77"/>
    </row>
    <row r="11" spans="1:18" ht="15.6" x14ac:dyDescent="0.4">
      <c r="A11" s="62" t="s">
        <v>141</v>
      </c>
      <c r="B11" s="65">
        <v>4.0000000000000001E-3</v>
      </c>
      <c r="J11" s="66"/>
      <c r="M11" s="77">
        <v>1.0166798789698976E-2</v>
      </c>
      <c r="N11" s="77">
        <v>-2.1004915354937228E-2</v>
      </c>
      <c r="O11" s="79"/>
      <c r="P11" s="77"/>
    </row>
    <row r="12" spans="1:18" ht="14.45" x14ac:dyDescent="0.35">
      <c r="D12" s="62" t="s">
        <v>55</v>
      </c>
      <c r="H12" s="62" t="s">
        <v>137</v>
      </c>
      <c r="I12" s="65">
        <f>SQRT(SUMSQ(B10:B11))</f>
        <v>1.3709698507426201E-2</v>
      </c>
      <c r="J12" s="66"/>
      <c r="M12" s="77">
        <v>1.6401700507182846E-2</v>
      </c>
      <c r="N12" s="77">
        <v>-2.12670300284808E-2</v>
      </c>
      <c r="O12" s="79"/>
      <c r="P12" s="77"/>
    </row>
    <row r="13" spans="1:18" ht="14.45" x14ac:dyDescent="0.3">
      <c r="A13" s="64" t="s">
        <v>114</v>
      </c>
      <c r="M13" s="77">
        <v>4.9176314198746884E-3</v>
      </c>
      <c r="N13" s="77">
        <v>-2.162164543092096E-2</v>
      </c>
      <c r="O13" s="79"/>
      <c r="P13" s="77"/>
    </row>
    <row r="14" spans="1:18" ht="14.45" x14ac:dyDescent="0.25">
      <c r="A14" s="62" t="s">
        <v>115</v>
      </c>
      <c r="M14" s="77">
        <v>1.0297390447133471E-2</v>
      </c>
      <c r="N14" s="77">
        <v>-2.0037442198712882E-2</v>
      </c>
      <c r="O14" s="79"/>
      <c r="P14" s="77"/>
    </row>
    <row r="15" spans="1:18" ht="14.45" x14ac:dyDescent="0.25">
      <c r="A15" s="62" t="s">
        <v>116</v>
      </c>
      <c r="M15" s="77">
        <v>1.6417701797067669E-2</v>
      </c>
      <c r="N15" s="77">
        <v>-1.7111121263796679E-2</v>
      </c>
      <c r="O15" s="79"/>
      <c r="P15" s="77"/>
    </row>
    <row r="16" spans="1:18" ht="14.45" x14ac:dyDescent="0.25">
      <c r="A16" s="62" t="s">
        <v>117</v>
      </c>
      <c r="M16" s="77">
        <v>1.0809724963424971E-2</v>
      </c>
      <c r="N16" s="77">
        <v>-2.3275719915102647E-2</v>
      </c>
      <c r="O16" s="79"/>
      <c r="P16" s="77"/>
    </row>
    <row r="17" spans="1:17" ht="15.6" x14ac:dyDescent="0.4">
      <c r="A17" s="80" t="s">
        <v>138</v>
      </c>
      <c r="B17" s="65">
        <f>SQRT(((COUNT(M4:M20)-1)*STDEV(M4:M20)^2+(COUNT(N4:N20)-1)*STDEV(N4:N20)^2+Q4^2*(R4-1)+Q5^2*(R5-1)+Q6^2*(R6-1)+Q7^2*(R7-1))/((COUNT(M4:N20)-2)+SUM(R4:R7)-1))</f>
        <v>2.6414485316261518E-3</v>
      </c>
      <c r="C17" s="62"/>
      <c r="M17" s="77">
        <v>8.2454905548698821E-3</v>
      </c>
      <c r="N17" s="77">
        <v>-2.2197522499385079E-2</v>
      </c>
      <c r="O17" s="79"/>
      <c r="P17" s="77"/>
    </row>
    <row r="18" spans="1:17" ht="14.45" x14ac:dyDescent="0.35">
      <c r="A18" s="62"/>
      <c r="B18" s="65"/>
      <c r="C18" s="62"/>
      <c r="M18" s="77">
        <v>9.3171827128366372E-3</v>
      </c>
      <c r="N18" s="77">
        <v>-1.8340665865283035E-2</v>
      </c>
      <c r="O18" s="79"/>
      <c r="P18" s="77"/>
    </row>
    <row r="19" spans="1:17" ht="14.45" x14ac:dyDescent="0.25">
      <c r="A19" s="62"/>
      <c r="C19" s="62"/>
      <c r="M19" s="77">
        <v>3.0657455780840888E-3</v>
      </c>
      <c r="N19" s="77">
        <v>-1.0582692479033923E-2</v>
      </c>
      <c r="O19" s="79"/>
      <c r="P19" s="77"/>
    </row>
    <row r="20" spans="1:17" ht="15" x14ac:dyDescent="0.4">
      <c r="A20" s="64" t="s">
        <v>139</v>
      </c>
      <c r="B20" s="87">
        <f>SQRT(SUMSQ(B17,I12))</f>
        <v>1.396184384348121E-2</v>
      </c>
      <c r="C20" s="62"/>
      <c r="M20" s="77">
        <v>8.2478013547387999E-3</v>
      </c>
      <c r="N20" s="79"/>
      <c r="O20" s="79"/>
      <c r="P20" s="77"/>
    </row>
    <row r="21" spans="1:17" ht="14.45" x14ac:dyDescent="0.35">
      <c r="A21" s="62" t="s">
        <v>118</v>
      </c>
      <c r="C21" s="61">
        <v>10</v>
      </c>
      <c r="D21" s="62" t="s">
        <v>8</v>
      </c>
      <c r="E21" s="62" t="s">
        <v>119</v>
      </c>
      <c r="H21" s="68">
        <f>C21*B20</f>
        <v>0.13961843843481209</v>
      </c>
      <c r="I21" s="62" t="s">
        <v>8</v>
      </c>
      <c r="M21" s="3"/>
      <c r="P21" s="3"/>
    </row>
    <row r="22" spans="1:17" ht="14.45" x14ac:dyDescent="0.35">
      <c r="A22" s="62"/>
      <c r="C22" s="62"/>
      <c r="P22" s="3"/>
    </row>
    <row r="23" spans="1:17" ht="14.45" x14ac:dyDescent="0.35">
      <c r="P23" s="3"/>
    </row>
    <row r="24" spans="1:17" ht="12.6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</row>
    <row r="25" spans="1:17" ht="12.6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</row>
  </sheetData>
  <mergeCells count="2">
    <mergeCell ref="M2:P2"/>
    <mergeCell ref="Q2:R2"/>
  </mergeCells>
  <pageMargins left="0.7" right="0.7" top="0.75" bottom="0.75" header="0.3" footer="0.3"/>
  <pageSetup paperSize="9" scale="52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7175" r:id="rId4">
          <objectPr defaultSize="0" autoPict="0" r:id="rId5">
            <anchor moveWithCells="1" sizeWithCells="1">
              <from>
                <xdr:col>0</xdr:col>
                <xdr:colOff>285750</xdr:colOff>
                <xdr:row>16</xdr:row>
                <xdr:rowOff>171450</xdr:rowOff>
              </from>
              <to>
                <xdr:col>3</xdr:col>
                <xdr:colOff>552450</xdr:colOff>
                <xdr:row>18</xdr:row>
                <xdr:rowOff>161925</xdr:rowOff>
              </to>
            </anchor>
          </objectPr>
        </oleObject>
      </mc:Choice>
      <mc:Fallback>
        <oleObject progId="Equation.3" shapeId="7175" r:id="rId4"/>
      </mc:Fallback>
    </mc:AlternateContent>
    <mc:AlternateContent xmlns:mc="http://schemas.openxmlformats.org/markup-compatibility/2006">
      <mc:Choice Requires="x14">
        <oleObject progId="Equation.3" shapeId="7176" r:id="rId6">
          <objectPr defaultSize="0" autoPict="0" r:id="rId7">
            <anchor moveWithCells="1" sizeWithCells="1">
              <from>
                <xdr:col>2</xdr:col>
                <xdr:colOff>438150</xdr:colOff>
                <xdr:row>7</xdr:row>
                <xdr:rowOff>171450</xdr:rowOff>
              </from>
              <to>
                <xdr:col>5</xdr:col>
                <xdr:colOff>9525</xdr:colOff>
                <xdr:row>10</xdr:row>
                <xdr:rowOff>133350</xdr:rowOff>
              </to>
            </anchor>
          </objectPr>
        </oleObject>
      </mc:Choice>
      <mc:Fallback>
        <oleObject progId="Equation.3" shapeId="7176" r:id="rId6"/>
      </mc:Fallback>
    </mc:AlternateContent>
    <mc:AlternateContent xmlns:mc="http://schemas.openxmlformats.org/markup-compatibility/2006">
      <mc:Choice Requires="x14">
        <oleObject progId="Equation.3" shapeId="7177" r:id="rId8">
          <objectPr defaultSize="0" autoPict="0" r:id="rId9">
            <anchor moveWithCells="1" sizeWithCells="1">
              <from>
                <xdr:col>2</xdr:col>
                <xdr:colOff>409575</xdr:colOff>
                <xdr:row>10</xdr:row>
                <xdr:rowOff>85725</xdr:rowOff>
              </from>
              <to>
                <xdr:col>5</xdr:col>
                <xdr:colOff>142875</xdr:colOff>
                <xdr:row>12</xdr:row>
                <xdr:rowOff>161925</xdr:rowOff>
              </to>
            </anchor>
          </objectPr>
        </oleObject>
      </mc:Choice>
      <mc:Fallback>
        <oleObject progId="Equation.3" shapeId="7177" r:id="rId8"/>
      </mc:Fallback>
    </mc:AlternateContent>
    <mc:AlternateContent xmlns:mc="http://schemas.openxmlformats.org/markup-compatibility/2006">
      <mc:Choice Requires="x14">
        <oleObject progId="Equation.3" shapeId="7178" r:id="rId10">
          <objectPr defaultSize="0" autoPict="0" r:id="rId11">
            <anchor moveWithCells="1" sizeWithCells="1">
              <from>
                <xdr:col>6</xdr:col>
                <xdr:colOff>104775</xdr:colOff>
                <xdr:row>9</xdr:row>
                <xdr:rowOff>0</xdr:rowOff>
              </from>
              <to>
                <xdr:col>10</xdr:col>
                <xdr:colOff>28575</xdr:colOff>
                <xdr:row>10</xdr:row>
                <xdr:rowOff>142875</xdr:rowOff>
              </to>
            </anchor>
          </objectPr>
        </oleObject>
      </mc:Choice>
      <mc:Fallback>
        <oleObject progId="Equation.3" shapeId="7178" r:id="rId10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"/>
  <sheetViews>
    <sheetView zoomScaleNormal="100" workbookViewId="0"/>
  </sheetViews>
  <sheetFormatPr defaultColWidth="8.7109375" defaultRowHeight="12.75" x14ac:dyDescent="0.2"/>
  <cols>
    <col min="1" max="9" width="8.7109375" style="61"/>
    <col min="10" max="10" width="9.42578125" style="61" bestFit="1" customWidth="1"/>
    <col min="11" max="11" width="8.7109375" style="61"/>
    <col min="12" max="12" width="17.28515625" style="61" customWidth="1"/>
    <col min="13" max="13" width="12.140625" style="61" bestFit="1" customWidth="1"/>
    <col min="14" max="14" width="12.7109375" style="61" bestFit="1" customWidth="1"/>
    <col min="15" max="15" width="10.42578125" style="61" customWidth="1"/>
    <col min="16" max="16384" width="8.7109375" style="61"/>
  </cols>
  <sheetData>
    <row r="1" spans="1:18" ht="14.45" x14ac:dyDescent="0.35">
      <c r="A1" s="60" t="s">
        <v>197</v>
      </c>
      <c r="O1" s="66"/>
      <c r="P1" s="3"/>
    </row>
    <row r="2" spans="1:18" ht="14.45" customHeight="1" x14ac:dyDescent="0.3">
      <c r="M2" s="123" t="s">
        <v>128</v>
      </c>
      <c r="N2" s="123"/>
      <c r="O2" s="123"/>
      <c r="P2" s="123"/>
      <c r="Q2" s="124" t="s">
        <v>129</v>
      </c>
      <c r="R2" s="124"/>
    </row>
    <row r="3" spans="1:18" ht="14.45" customHeight="1" x14ac:dyDescent="0.4">
      <c r="A3" s="69" t="s">
        <v>120</v>
      </c>
      <c r="M3" s="75" t="s">
        <v>130</v>
      </c>
      <c r="N3" s="75" t="s">
        <v>131</v>
      </c>
      <c r="O3" s="75" t="s">
        <v>132</v>
      </c>
      <c r="P3" s="76" t="s">
        <v>133</v>
      </c>
      <c r="Q3" s="85" t="s">
        <v>140</v>
      </c>
      <c r="R3" s="85" t="s">
        <v>134</v>
      </c>
    </row>
    <row r="4" spans="1:18" ht="14.45" x14ac:dyDescent="0.35">
      <c r="A4" s="62" t="s">
        <v>110</v>
      </c>
      <c r="F4" s="62" t="s">
        <v>55</v>
      </c>
      <c r="J4" s="67"/>
      <c r="M4" s="81">
        <v>5.5477284856550177E-5</v>
      </c>
      <c r="N4" s="81">
        <v>-7.6907455795527922E-5</v>
      </c>
      <c r="O4" s="82">
        <v>-9.0019247670290008E-3</v>
      </c>
      <c r="P4" s="81">
        <v>-2.5119244086548205E-3</v>
      </c>
      <c r="Q4" s="82">
        <v>1.0560491717426367E-2</v>
      </c>
      <c r="R4" s="86">
        <v>30</v>
      </c>
    </row>
    <row r="5" spans="1:18" ht="14.45" x14ac:dyDescent="0.35">
      <c r="A5" s="62" t="s">
        <v>111</v>
      </c>
      <c r="M5" s="81">
        <v>-5.6255391794284952E-3</v>
      </c>
      <c r="N5" s="81">
        <v>1.0715036272576179E-3</v>
      </c>
      <c r="O5" s="82">
        <v>-5.5594148899307761E-3</v>
      </c>
      <c r="P5" s="81">
        <v>-3.7151270966010647E-3</v>
      </c>
      <c r="Q5" s="82">
        <v>1.110893731738989E-2</v>
      </c>
      <c r="R5" s="86">
        <v>30</v>
      </c>
    </row>
    <row r="6" spans="1:18" ht="14.45" x14ac:dyDescent="0.35">
      <c r="A6" s="62" t="s">
        <v>121</v>
      </c>
      <c r="M6" s="81">
        <v>-3.8169561469975329E-3</v>
      </c>
      <c r="N6" s="81">
        <v>-5.5601170509215914E-3</v>
      </c>
      <c r="O6" s="82">
        <v>4.0725270259098136E-3</v>
      </c>
      <c r="P6" s="81">
        <v>2.3981309756388673E-4</v>
      </c>
      <c r="Q6" s="82">
        <v>1.0991356412296439E-2</v>
      </c>
      <c r="R6" s="86">
        <v>30</v>
      </c>
    </row>
    <row r="7" spans="1:18" ht="14.45" x14ac:dyDescent="0.35">
      <c r="A7" s="62" t="s">
        <v>135</v>
      </c>
      <c r="M7" s="81">
        <v>-6.8712175447027107E-3</v>
      </c>
      <c r="N7" s="81">
        <v>9.2137102384971044E-4</v>
      </c>
      <c r="O7" s="82">
        <v>7.1001147865861177E-3</v>
      </c>
      <c r="P7" s="81">
        <v>-2.4242207721748434E-2</v>
      </c>
    </row>
    <row r="8" spans="1:18" ht="14.45" x14ac:dyDescent="0.35">
      <c r="A8" s="62" t="s">
        <v>113</v>
      </c>
      <c r="M8" s="81">
        <v>-7.6301217207807763E-3</v>
      </c>
      <c r="N8" s="81">
        <v>4.3948443143650663E-3</v>
      </c>
      <c r="O8" s="82">
        <v>9.7865075222529768E-3</v>
      </c>
      <c r="P8" s="81"/>
    </row>
    <row r="9" spans="1:18" ht="14.45" x14ac:dyDescent="0.35">
      <c r="M9" s="81">
        <v>-9.0121730029005444E-3</v>
      </c>
      <c r="N9" s="81">
        <v>8.3582952957691747E-3</v>
      </c>
      <c r="O9" s="83"/>
      <c r="P9" s="81"/>
    </row>
    <row r="10" spans="1:18" ht="15.6" x14ac:dyDescent="0.4">
      <c r="A10" s="62" t="s">
        <v>136</v>
      </c>
      <c r="B10" s="65">
        <f>SQRT(SUMSQ(M4:P20)/COUNT(M4:P20))</f>
        <v>9.7183480045984795E-3</v>
      </c>
      <c r="C10" s="65"/>
      <c r="H10" s="62" t="s">
        <v>137</v>
      </c>
      <c r="I10" s="65">
        <f>SQRT(SUMSQ(B10:B11))</f>
        <v>1.0509342888044107E-2</v>
      </c>
      <c r="M10" s="81">
        <v>4.0428682618077836E-3</v>
      </c>
      <c r="N10" s="81">
        <v>3.2739224869955165E-4</v>
      </c>
      <c r="O10" s="83"/>
      <c r="P10" s="81"/>
    </row>
    <row r="11" spans="1:18" ht="15.6" x14ac:dyDescent="0.4">
      <c r="A11" s="62" t="s">
        <v>141</v>
      </c>
      <c r="B11" s="65">
        <v>4.0000000000000001E-3</v>
      </c>
      <c r="M11" s="81">
        <v>-6.8615703035478405E-3</v>
      </c>
      <c r="N11" s="81">
        <v>4.6952078860084878E-3</v>
      </c>
      <c r="O11" s="83"/>
      <c r="P11" s="81"/>
    </row>
    <row r="12" spans="1:18" ht="14.45" x14ac:dyDescent="0.35">
      <c r="M12" s="81">
        <v>-1.5978267273553535E-2</v>
      </c>
      <c r="N12" s="81">
        <v>4.5579947739148143E-3</v>
      </c>
      <c r="O12" s="83"/>
      <c r="P12" s="81"/>
    </row>
    <row r="13" spans="1:18" ht="14.45" x14ac:dyDescent="0.35">
      <c r="A13" s="64" t="s">
        <v>114</v>
      </c>
      <c r="M13" s="81">
        <v>-2.7618701302772235E-3</v>
      </c>
      <c r="N13" s="81">
        <v>6.3053855950402169E-3</v>
      </c>
      <c r="O13" s="83"/>
      <c r="P13" s="81"/>
    </row>
    <row r="14" spans="1:18" ht="14.45" x14ac:dyDescent="0.35">
      <c r="A14" s="62" t="s">
        <v>115</v>
      </c>
      <c r="M14" s="81">
        <v>-5.4970161959753067E-3</v>
      </c>
      <c r="N14" s="81">
        <v>8.668846576169972E-3</v>
      </c>
      <c r="O14" s="83"/>
      <c r="P14" s="83"/>
    </row>
    <row r="15" spans="1:18" ht="14.45" x14ac:dyDescent="0.35">
      <c r="A15" s="62" t="s">
        <v>116</v>
      </c>
      <c r="M15" s="81">
        <v>-4.1487905715632319E-3</v>
      </c>
      <c r="N15" s="81">
        <v>2.1103483949977086E-2</v>
      </c>
      <c r="O15" s="83"/>
      <c r="P15" s="83"/>
    </row>
    <row r="16" spans="1:18" ht="14.45" x14ac:dyDescent="0.35">
      <c r="A16" s="62" t="s">
        <v>117</v>
      </c>
      <c r="M16" s="81">
        <v>-1.6816907390880941E-2</v>
      </c>
      <c r="N16" s="81">
        <v>2.6165502397940629E-2</v>
      </c>
      <c r="O16" s="83"/>
      <c r="P16" s="83"/>
    </row>
    <row r="17" spans="1:16" ht="15.6" x14ac:dyDescent="0.4">
      <c r="A17" s="80" t="s">
        <v>138</v>
      </c>
      <c r="B17" s="65">
        <f>SQRT(((COUNT(M4:M20)-1)*STDEV(M4:M20)^2+(COUNT(N4:N20)-1)*STDEV(N4:N20)^2+Q4^2*(R4-1)+Q5^2*(R5-1)+Q6^2*(R6-1))/((COUNT(M4:N20)-2)+SUM(R4:R6)-1))</f>
        <v>1.0002424360399824E-2</v>
      </c>
      <c r="C17" s="71"/>
      <c r="M17" s="81">
        <v>-6.1185547900213053E-3</v>
      </c>
      <c r="N17" s="81"/>
      <c r="O17" s="83"/>
      <c r="P17" s="83"/>
    </row>
    <row r="18" spans="1:16" ht="14.45" x14ac:dyDescent="0.35">
      <c r="A18" s="62"/>
      <c r="B18" s="65"/>
      <c r="C18" s="62"/>
      <c r="M18" s="81">
        <v>-1.1012014761509962E-2</v>
      </c>
      <c r="N18" s="81"/>
      <c r="O18" s="83"/>
      <c r="P18" s="83"/>
    </row>
    <row r="19" spans="1:16" ht="14.45" x14ac:dyDescent="0.35">
      <c r="J19" s="62" t="s">
        <v>55</v>
      </c>
      <c r="M19" s="81">
        <v>-1.2855932923155296E-2</v>
      </c>
      <c r="N19" s="81"/>
      <c r="O19" s="83"/>
      <c r="P19" s="83"/>
    </row>
    <row r="20" spans="1:16" ht="15" x14ac:dyDescent="0.4">
      <c r="A20" s="64" t="s">
        <v>139</v>
      </c>
      <c r="B20" s="87">
        <f>SQRT(SUMSQ(B17,I10))</f>
        <v>1.4508438269641674E-2</v>
      </c>
      <c r="M20" s="81">
        <v>-1.332195413227978E-2</v>
      </c>
      <c r="N20" s="81"/>
      <c r="O20" s="83"/>
      <c r="P20" s="83"/>
    </row>
    <row r="21" spans="1:16" ht="12.6" x14ac:dyDescent="0.25">
      <c r="A21" s="62" t="s">
        <v>118</v>
      </c>
      <c r="C21" s="61">
        <v>10</v>
      </c>
      <c r="D21" s="62" t="s">
        <v>8</v>
      </c>
      <c r="E21" s="62" t="s">
        <v>119</v>
      </c>
      <c r="H21" s="70">
        <f>C21*B20</f>
        <v>0.14508438269641674</v>
      </c>
      <c r="I21" s="62" t="s">
        <v>8</v>
      </c>
    </row>
  </sheetData>
  <mergeCells count="2">
    <mergeCell ref="Q2:R2"/>
    <mergeCell ref="M2:P2"/>
  </mergeCells>
  <pageMargins left="0.7" right="0.7" top="0.75" bottom="0.75" header="0.3" footer="0.3"/>
  <pageSetup paperSize="9" scale="49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0243" r:id="rId4">
          <objectPr defaultSize="0" autoPict="0" r:id="rId5">
            <anchor>
              <from>
                <xdr:col>0</xdr:col>
                <xdr:colOff>0</xdr:colOff>
                <xdr:row>17</xdr:row>
                <xdr:rowOff>9525</xdr:rowOff>
              </from>
              <to>
                <xdr:col>3</xdr:col>
                <xdr:colOff>266700</xdr:colOff>
                <xdr:row>19</xdr:row>
                <xdr:rowOff>9525</xdr:rowOff>
              </to>
            </anchor>
          </objectPr>
        </oleObject>
      </mc:Choice>
      <mc:Fallback>
        <oleObject progId="Equation.3" shapeId="10243" r:id="rId4"/>
      </mc:Fallback>
    </mc:AlternateContent>
    <mc:AlternateContent xmlns:mc="http://schemas.openxmlformats.org/markup-compatibility/2006">
      <mc:Choice Requires="x14">
        <oleObject progId="Equation.3" shapeId="10244" r:id="rId6">
          <objectPr defaultSize="0" autoPict="0" r:id="rId7">
            <anchor>
              <from>
                <xdr:col>2</xdr:col>
                <xdr:colOff>276225</xdr:colOff>
                <xdr:row>8</xdr:row>
                <xdr:rowOff>9525</xdr:rowOff>
              </from>
              <to>
                <xdr:col>4</xdr:col>
                <xdr:colOff>457200</xdr:colOff>
                <xdr:row>10</xdr:row>
                <xdr:rowOff>152400</xdr:rowOff>
              </to>
            </anchor>
          </objectPr>
        </oleObject>
      </mc:Choice>
      <mc:Fallback>
        <oleObject progId="Equation.3" shapeId="10244" r:id="rId6"/>
      </mc:Fallback>
    </mc:AlternateContent>
    <mc:AlternateContent xmlns:mc="http://schemas.openxmlformats.org/markup-compatibility/2006">
      <mc:Choice Requires="x14">
        <oleObject progId="Equation.3" shapeId="10245" r:id="rId8">
          <objectPr defaultSize="0" autoPict="0" r:id="rId9">
            <anchor>
              <from>
                <xdr:col>2</xdr:col>
                <xdr:colOff>161925</xdr:colOff>
                <xdr:row>10</xdr:row>
                <xdr:rowOff>95250</xdr:rowOff>
              </from>
              <to>
                <xdr:col>4</xdr:col>
                <xdr:colOff>495300</xdr:colOff>
                <xdr:row>12</xdr:row>
                <xdr:rowOff>171450</xdr:rowOff>
              </to>
            </anchor>
          </objectPr>
        </oleObject>
      </mc:Choice>
      <mc:Fallback>
        <oleObject progId="Equation.3" shapeId="10245" r:id="rId8"/>
      </mc:Fallback>
    </mc:AlternateContent>
    <mc:AlternateContent xmlns:mc="http://schemas.openxmlformats.org/markup-compatibility/2006">
      <mc:Choice Requires="x14">
        <oleObject progId="Equation.3" shapeId="10246" r:id="rId10">
          <objectPr defaultSize="0" autoPict="0" r:id="rId11">
            <anchor>
              <from>
                <xdr:col>6</xdr:col>
                <xdr:colOff>104775</xdr:colOff>
                <xdr:row>10</xdr:row>
                <xdr:rowOff>9525</xdr:rowOff>
              </from>
              <to>
                <xdr:col>10</xdr:col>
                <xdr:colOff>0</xdr:colOff>
                <xdr:row>11</xdr:row>
                <xdr:rowOff>161925</xdr:rowOff>
              </to>
            </anchor>
          </objectPr>
        </oleObject>
      </mc:Choice>
      <mc:Fallback>
        <oleObject progId="Equation.3" shapeId="10246" r:id="rId10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zoomScaleSheetLayoutView="100" workbookViewId="0">
      <selection activeCell="A9" sqref="A9"/>
    </sheetView>
  </sheetViews>
  <sheetFormatPr defaultRowHeight="15" x14ac:dyDescent="0.25"/>
  <cols>
    <col min="1" max="1" width="101.28515625" customWidth="1"/>
  </cols>
  <sheetData>
    <row r="1" spans="1:2" ht="15.6" x14ac:dyDescent="0.35">
      <c r="A1" s="99" t="s">
        <v>175</v>
      </c>
    </row>
    <row r="2" spans="1:2" ht="15.6" x14ac:dyDescent="0.35">
      <c r="A2" s="107" t="s">
        <v>205</v>
      </c>
      <c r="B2" s="108"/>
    </row>
    <row r="3" spans="1:2" ht="28.5" customHeight="1" x14ac:dyDescent="0.35">
      <c r="A3" s="100" t="s">
        <v>206</v>
      </c>
    </row>
    <row r="4" spans="1:2" ht="31.5" x14ac:dyDescent="0.25">
      <c r="A4" s="109" t="s">
        <v>207</v>
      </c>
    </row>
    <row r="5" spans="1:2" ht="47.25" x14ac:dyDescent="0.25">
      <c r="A5" s="109" t="s">
        <v>208</v>
      </c>
    </row>
    <row r="6" spans="1:2" ht="30.95" x14ac:dyDescent="0.35">
      <c r="A6" s="100" t="s">
        <v>209</v>
      </c>
    </row>
    <row r="7" spans="1:2" ht="46.5" x14ac:dyDescent="0.35">
      <c r="A7" s="109" t="s">
        <v>210</v>
      </c>
    </row>
    <row r="8" spans="1:2" ht="15.6" x14ac:dyDescent="0.35">
      <c r="A8" s="101" t="s">
        <v>211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/>
  </sheetViews>
  <sheetFormatPr defaultRowHeight="15" x14ac:dyDescent="0.25"/>
  <cols>
    <col min="1" max="2" width="32.7109375" customWidth="1"/>
    <col min="3" max="3" width="33.140625" customWidth="1"/>
  </cols>
  <sheetData>
    <row r="1" spans="1:3" x14ac:dyDescent="0.25">
      <c r="A1" s="90" t="s">
        <v>162</v>
      </c>
    </row>
    <row r="2" spans="1:3" ht="15.95" thickBot="1" x14ac:dyDescent="0.4">
      <c r="A2" s="91"/>
    </row>
    <row r="3" spans="1:3" ht="15.6" thickBot="1" x14ac:dyDescent="0.4">
      <c r="A3" s="92" t="s">
        <v>142</v>
      </c>
      <c r="B3" s="93" t="s">
        <v>120</v>
      </c>
      <c r="C3" s="93" t="s">
        <v>2</v>
      </c>
    </row>
    <row r="4" spans="1:3" ht="16.5" thickBot="1" x14ac:dyDescent="0.3">
      <c r="A4" s="94" t="s">
        <v>143</v>
      </c>
      <c r="B4" s="95" t="s">
        <v>144</v>
      </c>
      <c r="C4" s="95" t="s">
        <v>145</v>
      </c>
    </row>
    <row r="5" spans="1:3" ht="15.75" x14ac:dyDescent="0.25">
      <c r="A5" s="113" t="s">
        <v>146</v>
      </c>
      <c r="B5" s="96" t="s">
        <v>164</v>
      </c>
      <c r="C5" s="111" t="s">
        <v>147</v>
      </c>
    </row>
    <row r="6" spans="1:3" ht="15.75" x14ac:dyDescent="0.25">
      <c r="A6" s="114"/>
      <c r="B6" s="96" t="s">
        <v>165</v>
      </c>
      <c r="C6" s="116"/>
    </row>
    <row r="7" spans="1:3" ht="16.5" thickBot="1" x14ac:dyDescent="0.3">
      <c r="A7" s="115"/>
      <c r="B7" s="95" t="s">
        <v>166</v>
      </c>
      <c r="C7" s="112"/>
    </row>
    <row r="8" spans="1:3" ht="16.5" thickBot="1" x14ac:dyDescent="0.3">
      <c r="A8" s="113" t="s">
        <v>148</v>
      </c>
      <c r="B8" s="111" t="s">
        <v>167</v>
      </c>
      <c r="C8" s="95" t="s">
        <v>168</v>
      </c>
    </row>
    <row r="9" spans="1:3" ht="16.5" thickBot="1" x14ac:dyDescent="0.3">
      <c r="A9" s="115"/>
      <c r="B9" s="112"/>
      <c r="C9" s="95" t="s">
        <v>149</v>
      </c>
    </row>
    <row r="10" spans="1:3" ht="32.25" thickBot="1" x14ac:dyDescent="0.3">
      <c r="A10" s="94" t="s">
        <v>150</v>
      </c>
      <c r="B10" s="95" t="s">
        <v>169</v>
      </c>
      <c r="C10" s="95" t="s">
        <v>170</v>
      </c>
    </row>
    <row r="11" spans="1:3" ht="15.75" x14ac:dyDescent="0.25">
      <c r="A11" s="113" t="s">
        <v>151</v>
      </c>
      <c r="B11" s="96" t="s">
        <v>152</v>
      </c>
      <c r="C11" s="111" t="s">
        <v>153</v>
      </c>
    </row>
    <row r="12" spans="1:3" ht="15.75" x14ac:dyDescent="0.25">
      <c r="A12" s="114"/>
      <c r="B12" s="96" t="s">
        <v>171</v>
      </c>
      <c r="C12" s="116"/>
    </row>
    <row r="13" spans="1:3" ht="16.5" thickBot="1" x14ac:dyDescent="0.3">
      <c r="A13" s="115"/>
      <c r="B13" s="95" t="s">
        <v>172</v>
      </c>
      <c r="C13" s="112"/>
    </row>
    <row r="14" spans="1:3" ht="15.95" thickBot="1" x14ac:dyDescent="0.4">
      <c r="A14" s="94" t="s">
        <v>154</v>
      </c>
      <c r="B14" s="95" t="s">
        <v>173</v>
      </c>
      <c r="C14" s="95" t="s">
        <v>147</v>
      </c>
    </row>
    <row r="15" spans="1:3" ht="15.95" thickBot="1" x14ac:dyDescent="0.4">
      <c r="A15" s="94" t="s">
        <v>155</v>
      </c>
      <c r="B15" s="97">
        <v>0.03</v>
      </c>
      <c r="C15" s="95" t="s">
        <v>50</v>
      </c>
    </row>
    <row r="16" spans="1:3" ht="16.5" thickBot="1" x14ac:dyDescent="0.3">
      <c r="A16" s="94" t="s">
        <v>156</v>
      </c>
      <c r="B16" s="95" t="s">
        <v>50</v>
      </c>
      <c r="C16" s="95" t="s">
        <v>174</v>
      </c>
    </row>
    <row r="17" spans="1:3" ht="31.5" thickBot="1" x14ac:dyDescent="0.4">
      <c r="A17" s="94" t="s">
        <v>157</v>
      </c>
      <c r="B17" s="95" t="s">
        <v>158</v>
      </c>
      <c r="C17" s="95" t="s">
        <v>159</v>
      </c>
    </row>
    <row r="18" spans="1:3" ht="19.5" thickBot="1" x14ac:dyDescent="0.3">
      <c r="A18" s="94" t="s">
        <v>160</v>
      </c>
      <c r="B18" s="95" t="s">
        <v>163</v>
      </c>
      <c r="C18" s="95" t="s">
        <v>161</v>
      </c>
    </row>
    <row r="19" spans="1:3" ht="15.95" thickBot="1" x14ac:dyDescent="0.4">
      <c r="A19" s="98" t="s">
        <v>176</v>
      </c>
      <c r="B19" s="110" t="s">
        <v>212</v>
      </c>
      <c r="C19" s="110" t="s">
        <v>213</v>
      </c>
    </row>
  </sheetData>
  <mergeCells count="6">
    <mergeCell ref="B8:B9"/>
    <mergeCell ref="A5:A7"/>
    <mergeCell ref="C5:C7"/>
    <mergeCell ref="A8:A9"/>
    <mergeCell ref="A11:A13"/>
    <mergeCell ref="C11:C1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2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13.42578125" style="1" customWidth="1"/>
    <col min="3" max="3" width="9.140625" style="1"/>
    <col min="4" max="4" width="9.42578125" style="1" bestFit="1" customWidth="1"/>
    <col min="5" max="5" width="12.42578125" style="1" bestFit="1" customWidth="1"/>
    <col min="6" max="6" width="12.7109375" style="1" bestFit="1" customWidth="1"/>
    <col min="7" max="7" width="12.140625" style="1" bestFit="1" customWidth="1"/>
    <col min="8" max="22" width="9.140625" style="1"/>
    <col min="23" max="23" width="11.7109375" style="1" customWidth="1"/>
    <col min="24" max="16384" width="9.140625" style="1"/>
  </cols>
  <sheetData>
    <row r="1" spans="1:13" ht="12.95" x14ac:dyDescent="0.3">
      <c r="A1" s="5" t="s">
        <v>181</v>
      </c>
    </row>
    <row r="2" spans="1:13" x14ac:dyDescent="0.2">
      <c r="A2" s="5" t="s">
        <v>182</v>
      </c>
    </row>
    <row r="4" spans="1:13" ht="12.6" customHeight="1" x14ac:dyDescent="0.3">
      <c r="A4" s="5"/>
    </row>
    <row r="5" spans="1:13" ht="12.6" x14ac:dyDescent="0.25">
      <c r="A5" s="6"/>
    </row>
    <row r="6" spans="1:13" ht="12.6" x14ac:dyDescent="0.25">
      <c r="A6" s="4"/>
    </row>
    <row r="8" spans="1:13" s="2" customFormat="1" ht="18" x14ac:dyDescent="0.4">
      <c r="A8" s="7" t="s">
        <v>2</v>
      </c>
    </row>
    <row r="9" spans="1:13" s="36" customFormat="1" ht="11.45" x14ac:dyDescent="0.25">
      <c r="A9" s="36" t="s">
        <v>60</v>
      </c>
    </row>
    <row r="10" spans="1:13" s="36" customFormat="1" ht="14.45" customHeight="1" x14ac:dyDescent="0.4">
      <c r="A10" s="9" t="s">
        <v>78</v>
      </c>
      <c r="B10" s="39">
        <v>3.9025485336470337E-3</v>
      </c>
      <c r="C10" s="38" t="s">
        <v>8</v>
      </c>
      <c r="D10" s="38" t="s">
        <v>57</v>
      </c>
      <c r="E10" s="42"/>
    </row>
    <row r="11" spans="1:13" s="36" customFormat="1" ht="14.45" customHeight="1" x14ac:dyDescent="0.4">
      <c r="A11" s="9" t="s">
        <v>79</v>
      </c>
      <c r="B11" s="39">
        <v>4.913036844405071E-3</v>
      </c>
      <c r="C11" s="38" t="s">
        <v>8</v>
      </c>
      <c r="D11" s="38" t="s">
        <v>61</v>
      </c>
      <c r="E11" s="42"/>
    </row>
    <row r="12" spans="1:13" s="36" customFormat="1" ht="14.45" customHeight="1" x14ac:dyDescent="0.4">
      <c r="A12" s="9" t="s">
        <v>80</v>
      </c>
      <c r="B12" s="39">
        <v>6.8643950719533137E-2</v>
      </c>
      <c r="C12" s="38" t="s">
        <v>8</v>
      </c>
      <c r="D12" s="38" t="s">
        <v>58</v>
      </c>
      <c r="E12" s="38"/>
      <c r="F12" s="37"/>
      <c r="G12" s="37"/>
      <c r="K12" s="41"/>
      <c r="L12" s="41"/>
      <c r="M12" s="41"/>
    </row>
    <row r="13" spans="1:13" s="36" customFormat="1" ht="14.45" customHeight="1" x14ac:dyDescent="0.4">
      <c r="A13" s="9" t="s">
        <v>81</v>
      </c>
      <c r="B13" s="37">
        <v>3.1E-2</v>
      </c>
      <c r="C13" s="38" t="s">
        <v>8</v>
      </c>
      <c r="D13" s="55" t="s">
        <v>203</v>
      </c>
      <c r="E13" s="38"/>
      <c r="F13" s="37"/>
      <c r="G13" s="37"/>
    </row>
    <row r="14" spans="1:13" s="36" customFormat="1" ht="14.45" customHeight="1" x14ac:dyDescent="0.4">
      <c r="A14" s="9" t="s">
        <v>82</v>
      </c>
      <c r="B14" s="43">
        <v>-9.4244609374349484E-4</v>
      </c>
      <c r="C14" s="38" t="s">
        <v>122</v>
      </c>
      <c r="D14" s="38" t="s">
        <v>62</v>
      </c>
      <c r="E14" s="38"/>
      <c r="F14" s="37"/>
      <c r="G14" s="37"/>
    </row>
    <row r="15" spans="1:13" s="36" customFormat="1" ht="14.45" customHeight="1" x14ac:dyDescent="0.25">
      <c r="A15" s="9" t="s">
        <v>83</v>
      </c>
      <c r="B15" s="44">
        <v>2.436875013221735E-2</v>
      </c>
      <c r="C15" s="38" t="s">
        <v>63</v>
      </c>
      <c r="D15" s="38" t="s">
        <v>64</v>
      </c>
      <c r="E15" s="38"/>
      <c r="F15" s="37"/>
      <c r="G15" s="37"/>
    </row>
    <row r="16" spans="1:13" s="36" customFormat="1" ht="14.45" customHeight="1" x14ac:dyDescent="0.4">
      <c r="A16" s="72" t="s">
        <v>125</v>
      </c>
      <c r="B16" s="39">
        <v>-7.8995010564227898E-3</v>
      </c>
      <c r="C16" s="38" t="s">
        <v>8</v>
      </c>
      <c r="D16" s="38" t="s">
        <v>126</v>
      </c>
      <c r="E16" s="38"/>
      <c r="F16" s="37"/>
      <c r="G16" s="37"/>
    </row>
    <row r="17" spans="1:21" s="36" customFormat="1" ht="14.45" customHeight="1" x14ac:dyDescent="0.4">
      <c r="A17" s="72" t="s">
        <v>123</v>
      </c>
      <c r="B17" s="39">
        <v>8.493146873257047E-4</v>
      </c>
      <c r="C17" s="38" t="s">
        <v>8</v>
      </c>
      <c r="D17" s="38" t="s">
        <v>124</v>
      </c>
      <c r="E17" s="38"/>
      <c r="F17" s="37"/>
      <c r="G17" s="37"/>
    </row>
    <row r="18" spans="1:21" s="36" customFormat="1" ht="14.45" customHeight="1" x14ac:dyDescent="0.4">
      <c r="A18" s="9" t="s">
        <v>85</v>
      </c>
      <c r="B18" s="39">
        <v>2.7664860087933483E-2</v>
      </c>
      <c r="C18" s="38" t="s">
        <v>50</v>
      </c>
      <c r="D18" s="38" t="s">
        <v>65</v>
      </c>
      <c r="E18" s="37"/>
      <c r="F18" s="37"/>
      <c r="G18" s="37"/>
    </row>
    <row r="19" spans="1:21" s="36" customFormat="1" ht="14.45" customHeight="1" x14ac:dyDescent="0.25">
      <c r="A19" s="37"/>
      <c r="B19" s="37"/>
      <c r="C19" s="37"/>
      <c r="D19" s="37"/>
      <c r="E19" s="37"/>
      <c r="F19" s="37"/>
      <c r="G19" s="37"/>
    </row>
    <row r="20" spans="1:21" ht="12.95" x14ac:dyDescent="0.3">
      <c r="A20" s="2" t="s">
        <v>3</v>
      </c>
    </row>
    <row r="21" spans="1:21" ht="12.95" x14ac:dyDescent="0.3">
      <c r="A21" s="2"/>
      <c r="B21" s="2" t="s">
        <v>4</v>
      </c>
      <c r="C21" s="2" t="s">
        <v>5</v>
      </c>
      <c r="D21" s="2" t="s">
        <v>6</v>
      </c>
    </row>
    <row r="22" spans="1:21" ht="12.95" x14ac:dyDescent="0.3">
      <c r="A22" s="2" t="s">
        <v>7</v>
      </c>
      <c r="B22" s="8"/>
      <c r="C22" s="2"/>
      <c r="D22" s="2"/>
    </row>
    <row r="23" spans="1:21" ht="15" x14ac:dyDescent="0.4">
      <c r="A23" s="9" t="s">
        <v>86</v>
      </c>
      <c r="B23" s="10">
        <v>0</v>
      </c>
      <c r="C23" s="4" t="s">
        <v>8</v>
      </c>
      <c r="D23" s="4" t="s">
        <v>9</v>
      </c>
    </row>
    <row r="24" spans="1:21" ht="15" x14ac:dyDescent="0.4">
      <c r="A24" s="9" t="s">
        <v>87</v>
      </c>
      <c r="B24" s="10">
        <v>8.9499999999999993</v>
      </c>
      <c r="C24" s="4" t="s">
        <v>8</v>
      </c>
      <c r="D24" s="4" t="s">
        <v>10</v>
      </c>
      <c r="L24" s="4" t="s">
        <v>200</v>
      </c>
    </row>
    <row r="25" spans="1:21" ht="15" x14ac:dyDescent="0.4">
      <c r="A25" s="9" t="s">
        <v>88</v>
      </c>
      <c r="B25" s="8">
        <v>0</v>
      </c>
      <c r="C25" s="4" t="s">
        <v>8</v>
      </c>
      <c r="D25" s="4" t="s">
        <v>72</v>
      </c>
      <c r="L25" s="4" t="s">
        <v>12</v>
      </c>
      <c r="M25" s="1">
        <v>8.0000000000000002E-3</v>
      </c>
      <c r="Q25" s="35"/>
      <c r="R25" s="35"/>
      <c r="S25" s="35"/>
      <c r="T25" s="35"/>
      <c r="U25" s="35"/>
    </row>
    <row r="26" spans="1:21" ht="15" x14ac:dyDescent="0.25">
      <c r="A26" s="9" t="s">
        <v>89</v>
      </c>
      <c r="B26" s="11">
        <f>(EXP(-139.3441+157570.1/(B27+273.15)+(-66423080/(B27+273.15)^2)+(12438000000/(B27+273.15)^3)+(-862194900000/(B27+273.15)^4)))*(B28-101325*(EXP((((-216961*(1/(B27+273.15)))-3840.7)*(1/(B27+273.15))+11.8571))))/(101325-101325*(EXP((((-216961*(1/(B27+273.15)))-3840.7)*(1/(B27+273.15))+11.8571))))</f>
        <v>8.8906837598682564</v>
      </c>
      <c r="C26" s="4" t="s">
        <v>8</v>
      </c>
      <c r="D26" s="4" t="s">
        <v>198</v>
      </c>
      <c r="L26" s="4" t="s">
        <v>15</v>
      </c>
      <c r="M26" s="1">
        <v>-0.16919999999999999</v>
      </c>
      <c r="O26" s="4" t="s">
        <v>75</v>
      </c>
      <c r="Q26" s="35"/>
      <c r="R26" s="35"/>
      <c r="S26" s="35"/>
      <c r="T26" s="35"/>
      <c r="U26" s="35"/>
    </row>
    <row r="27" spans="1:21" ht="15.75" x14ac:dyDescent="0.3">
      <c r="A27" s="8" t="s">
        <v>90</v>
      </c>
      <c r="B27" s="10">
        <v>19.928999999999998</v>
      </c>
      <c r="C27" s="4" t="s">
        <v>13</v>
      </c>
      <c r="D27" s="4" t="s">
        <v>14</v>
      </c>
      <c r="L27" s="4" t="s">
        <v>17</v>
      </c>
      <c r="M27" s="1">
        <v>25.385100000000001</v>
      </c>
      <c r="O27" s="1">
        <f>42.914*1.25608904610271</f>
        <v>53.903805324451703</v>
      </c>
      <c r="P27" s="1" t="s">
        <v>11</v>
      </c>
    </row>
    <row r="28" spans="1:21" ht="15.95" x14ac:dyDescent="0.4">
      <c r="A28" s="8" t="s">
        <v>91</v>
      </c>
      <c r="B28" s="12">
        <v>98991</v>
      </c>
      <c r="C28" s="4" t="s">
        <v>1</v>
      </c>
      <c r="D28" s="4" t="s">
        <v>16</v>
      </c>
      <c r="L28" s="4" t="s">
        <v>19</v>
      </c>
      <c r="M28" s="1">
        <v>14.094099999999999</v>
      </c>
      <c r="O28" s="35" t="s">
        <v>76</v>
      </c>
      <c r="P28" s="35"/>
    </row>
    <row r="29" spans="1:21" ht="15.75" x14ac:dyDescent="0.3">
      <c r="A29" s="8" t="s">
        <v>92</v>
      </c>
      <c r="B29" s="10">
        <v>20.100000000000001</v>
      </c>
      <c r="C29" s="4" t="s">
        <v>13</v>
      </c>
      <c r="D29" s="4" t="s">
        <v>18</v>
      </c>
      <c r="L29" s="4" t="s">
        <v>21</v>
      </c>
      <c r="M29" s="1">
        <v>-7.0260999999999996</v>
      </c>
      <c r="O29" s="56" t="s">
        <v>73</v>
      </c>
      <c r="P29" s="35" t="s">
        <v>56</v>
      </c>
    </row>
    <row r="30" spans="1:21" ht="15.75" x14ac:dyDescent="0.3">
      <c r="A30" s="8" t="s">
        <v>93</v>
      </c>
      <c r="B30" s="10">
        <v>100100</v>
      </c>
      <c r="C30" s="4" t="s">
        <v>1</v>
      </c>
      <c r="D30" s="4" t="s">
        <v>20</v>
      </c>
      <c r="L30" s="4" t="s">
        <v>22</v>
      </c>
      <c r="M30" s="1">
        <v>2.7081</v>
      </c>
      <c r="O30" s="56" t="s">
        <v>201</v>
      </c>
      <c r="P30" s="35" t="s">
        <v>74</v>
      </c>
    </row>
    <row r="31" spans="1:21" ht="12.6" x14ac:dyDescent="0.25">
      <c r="A31" s="46"/>
      <c r="B31" s="47"/>
      <c r="C31" s="6"/>
      <c r="D31" s="48"/>
      <c r="L31" s="4" t="s">
        <v>24</v>
      </c>
      <c r="M31" s="1">
        <v>5.0000000000000001E-4</v>
      </c>
    </row>
    <row r="32" spans="1:21" ht="12.95" x14ac:dyDescent="0.3">
      <c r="A32" s="2" t="s">
        <v>23</v>
      </c>
      <c r="B32" s="2"/>
      <c r="C32" s="2"/>
      <c r="D32" s="2"/>
      <c r="F32" s="4" t="s">
        <v>55</v>
      </c>
      <c r="L32" s="4" t="s">
        <v>26</v>
      </c>
      <c r="M32" s="1">
        <v>-5.5999999999999999E-3</v>
      </c>
    </row>
    <row r="33" spans="1:14" ht="15" x14ac:dyDescent="0.4">
      <c r="A33" s="9" t="s">
        <v>94</v>
      </c>
      <c r="B33" s="13">
        <v>9.85</v>
      </c>
      <c r="C33" s="4" t="s">
        <v>8</v>
      </c>
      <c r="D33" s="4" t="s">
        <v>25</v>
      </c>
      <c r="E33" s="2"/>
      <c r="L33" s="4" t="s">
        <v>29</v>
      </c>
      <c r="M33" s="1">
        <v>-6.6E-3</v>
      </c>
    </row>
    <row r="34" spans="1:14" ht="12.6" x14ac:dyDescent="0.25">
      <c r="A34" s="58" t="s">
        <v>27</v>
      </c>
      <c r="B34" s="14">
        <v>0.34</v>
      </c>
      <c r="C34" s="4" t="s">
        <v>11</v>
      </c>
      <c r="D34" s="4" t="s">
        <v>28</v>
      </c>
      <c r="L34" s="4" t="s">
        <v>31</v>
      </c>
      <c r="M34" s="1">
        <v>-3.7499999999999999E-2</v>
      </c>
    </row>
    <row r="35" spans="1:14" ht="12.95" x14ac:dyDescent="0.3">
      <c r="A35" s="8" t="s">
        <v>0</v>
      </c>
      <c r="B35" s="74">
        <f>M25+M26*(B34/O27)^0.5+M27*(B34/O27)+M28*(B34/O27)^1.5+M29*(B34/O27)^2+M30*(B34/O27)^2.5+((10/(1+0.0162*10))*(M31+M32*(B34/O27)^0.5+M33*(B34/O27)+M34*(B34/O27)^1.5+M35*(B34/O27)^2+M36*(B34/O27)^2.5))-(M25/(1+1.5*M37*(B34/O27)+(400*(B34/O27))^2))-(M31*(10/(1+0.0162*10))/(1+(M38*(B34/O27))^0.5+(M38*(B34/O27))^1.5))</f>
        <v>0.15885350164380205</v>
      </c>
      <c r="C35" s="4" t="s">
        <v>30</v>
      </c>
      <c r="D35" s="4" t="s">
        <v>199</v>
      </c>
      <c r="L35" s="4" t="s">
        <v>33</v>
      </c>
      <c r="M35" s="1">
        <v>6.3600000000000004E-2</v>
      </c>
    </row>
    <row r="36" spans="1:14" ht="15.75" x14ac:dyDescent="0.3">
      <c r="A36" s="8" t="s">
        <v>95</v>
      </c>
      <c r="B36" s="13">
        <v>9.6</v>
      </c>
      <c r="C36" s="4" t="s">
        <v>13</v>
      </c>
      <c r="D36" s="4" t="s">
        <v>32</v>
      </c>
      <c r="L36" s="4" t="s">
        <v>34</v>
      </c>
      <c r="M36" s="1">
        <v>-1.44E-2</v>
      </c>
    </row>
    <row r="37" spans="1:14" ht="14.25" x14ac:dyDescent="0.25">
      <c r="A37" s="9" t="s">
        <v>96</v>
      </c>
      <c r="B37" s="13">
        <v>50</v>
      </c>
      <c r="C37" s="4" t="s">
        <v>59</v>
      </c>
      <c r="D37" s="4" t="s">
        <v>66</v>
      </c>
      <c r="L37" s="4" t="s">
        <v>37</v>
      </c>
      <c r="M37" s="1">
        <v>400</v>
      </c>
      <c r="N37" s="4" t="s">
        <v>38</v>
      </c>
    </row>
    <row r="38" spans="1:14" x14ac:dyDescent="0.2">
      <c r="A38" s="9" t="s">
        <v>35</v>
      </c>
      <c r="B38" s="13">
        <v>3</v>
      </c>
      <c r="C38" s="4"/>
      <c r="D38" s="4" t="s">
        <v>36</v>
      </c>
      <c r="L38" s="4" t="s">
        <v>39</v>
      </c>
      <c r="M38" s="1">
        <v>100</v>
      </c>
      <c r="N38" s="4" t="s">
        <v>38</v>
      </c>
    </row>
    <row r="39" spans="1:14" x14ac:dyDescent="0.2">
      <c r="A39" s="9"/>
      <c r="B39" s="15"/>
      <c r="C39" s="4"/>
      <c r="D39" s="4"/>
    </row>
    <row r="40" spans="1:14" ht="13.5" thickBot="1" x14ac:dyDescent="0.25">
      <c r="A40" s="9"/>
      <c r="C40" s="4"/>
      <c r="D40" s="4"/>
    </row>
    <row r="41" spans="1:14" ht="13.5" thickBot="1" x14ac:dyDescent="0.25">
      <c r="A41" s="117" t="s">
        <v>40</v>
      </c>
      <c r="B41" s="118"/>
      <c r="C41" s="118"/>
      <c r="D41" s="118"/>
      <c r="E41" s="119"/>
      <c r="F41" s="117" t="s">
        <v>41</v>
      </c>
      <c r="G41" s="118"/>
      <c r="H41" s="118"/>
      <c r="I41" s="118"/>
      <c r="J41" s="118"/>
      <c r="K41" s="119"/>
      <c r="L41" s="49"/>
      <c r="M41" s="49"/>
      <c r="N41" s="49"/>
    </row>
    <row r="42" spans="1:14" ht="15" thickBot="1" x14ac:dyDescent="0.3">
      <c r="A42" s="17" t="s">
        <v>42</v>
      </c>
      <c r="B42" s="18" t="s">
        <v>4</v>
      </c>
      <c r="C42" s="19" t="s">
        <v>5</v>
      </c>
      <c r="D42" s="20" t="s">
        <v>43</v>
      </c>
      <c r="E42" s="21" t="s">
        <v>44</v>
      </c>
      <c r="F42" s="120" t="s">
        <v>45</v>
      </c>
      <c r="G42" s="121"/>
      <c r="H42" s="121"/>
      <c r="I42" s="120" t="s">
        <v>46</v>
      </c>
      <c r="J42" s="121"/>
      <c r="K42" s="122"/>
      <c r="L42" s="49"/>
      <c r="M42" s="49"/>
      <c r="N42" s="49"/>
    </row>
    <row r="43" spans="1:14" ht="14.25" x14ac:dyDescent="0.25">
      <c r="A43" s="9" t="s">
        <v>86</v>
      </c>
      <c r="B43" s="22">
        <f>B23</f>
        <v>0</v>
      </c>
      <c r="C43" s="23" t="s">
        <v>8</v>
      </c>
      <c r="D43" s="24">
        <f>SQRT(SUMSQ(F43,I43))</f>
        <v>5.6983562864930679E-3</v>
      </c>
      <c r="E43" s="25"/>
      <c r="F43" s="4">
        <f>0.005/SQRT(3)</f>
        <v>2.886751345948129E-3</v>
      </c>
      <c r="G43" s="9" t="s">
        <v>101</v>
      </c>
      <c r="H43" s="4" t="s">
        <v>47</v>
      </c>
      <c r="I43" s="40">
        <f>B11</f>
        <v>4.913036844405071E-3</v>
      </c>
      <c r="J43" s="9" t="s">
        <v>78</v>
      </c>
      <c r="K43" s="4" t="s">
        <v>67</v>
      </c>
      <c r="L43" s="22"/>
      <c r="M43" s="22"/>
      <c r="N43" s="22"/>
    </row>
    <row r="44" spans="1:14" ht="14.25" x14ac:dyDescent="0.25">
      <c r="A44" s="9" t="s">
        <v>87</v>
      </c>
      <c r="B44" s="22">
        <f>B24</f>
        <v>8.9499999999999993</v>
      </c>
      <c r="C44" s="23" t="s">
        <v>8</v>
      </c>
      <c r="D44" s="24">
        <f t="shared" ref="D44" si="0">SQRT(SUMSQ(F44,I44))</f>
        <v>4.8541959571904332E-3</v>
      </c>
      <c r="E44" s="25">
        <f>D44/B44</f>
        <v>5.4236826337323283E-4</v>
      </c>
      <c r="F44" s="4">
        <f>0.005/SQRT(3)</f>
        <v>2.886751345948129E-3</v>
      </c>
      <c r="G44" s="9" t="s">
        <v>102</v>
      </c>
      <c r="H44" s="4" t="s">
        <v>47</v>
      </c>
      <c r="I44" s="40">
        <f>B10</f>
        <v>3.9025485336470337E-3</v>
      </c>
      <c r="J44" s="9" t="s">
        <v>79</v>
      </c>
      <c r="K44" s="4" t="s">
        <v>67</v>
      </c>
      <c r="L44" s="22"/>
      <c r="M44" s="22"/>
      <c r="N44" s="22"/>
    </row>
    <row r="45" spans="1:14" ht="14.25" x14ac:dyDescent="0.25">
      <c r="A45" s="9" t="s">
        <v>88</v>
      </c>
      <c r="B45" s="22">
        <f>B25</f>
        <v>0</v>
      </c>
      <c r="C45" s="23" t="s">
        <v>8</v>
      </c>
      <c r="D45" s="24">
        <f>SQRT(SUMSQ(F45))</f>
        <v>5.773502691896258E-3</v>
      </c>
      <c r="E45" s="25"/>
      <c r="F45" s="1">
        <f>0.01/SQRT(3)</f>
        <v>5.773502691896258E-3</v>
      </c>
      <c r="G45" s="9" t="s">
        <v>103</v>
      </c>
      <c r="H45" s="22" t="s">
        <v>48</v>
      </c>
      <c r="I45" s="22"/>
      <c r="J45" s="22"/>
      <c r="K45" s="22"/>
      <c r="L45" s="22"/>
      <c r="M45" s="22"/>
      <c r="N45" s="22"/>
    </row>
    <row r="46" spans="1:14" ht="14.25" x14ac:dyDescent="0.25">
      <c r="A46" s="9" t="s">
        <v>89</v>
      </c>
      <c r="B46" s="26">
        <f>B26</f>
        <v>8.8906837598682564</v>
      </c>
      <c r="C46" s="23" t="s">
        <v>8</v>
      </c>
      <c r="D46" s="24">
        <f>SQRT(SUMSQ(F46))</f>
        <v>3.1E-2</v>
      </c>
      <c r="E46" s="25">
        <f>D46/B46</f>
        <v>3.4867959357559428E-3</v>
      </c>
      <c r="F46" s="22">
        <f>B13</f>
        <v>3.1E-2</v>
      </c>
      <c r="G46" s="9" t="s">
        <v>81</v>
      </c>
      <c r="H46" s="57" t="s">
        <v>202</v>
      </c>
      <c r="I46" s="22"/>
      <c r="J46" s="22"/>
      <c r="K46" s="22"/>
      <c r="L46" s="22"/>
      <c r="M46" s="22"/>
      <c r="N46" s="22"/>
    </row>
    <row r="47" spans="1:14" ht="14.25" x14ac:dyDescent="0.25">
      <c r="A47" s="9" t="s">
        <v>94</v>
      </c>
      <c r="B47" s="26">
        <f>B33</f>
        <v>9.85</v>
      </c>
      <c r="C47" s="23" t="s">
        <v>8</v>
      </c>
      <c r="D47" s="24">
        <f>SQRT(SUMSQ(F47,I47))</f>
        <v>6.8704623597826572E-2</v>
      </c>
      <c r="E47" s="25">
        <f>D47/B47</f>
        <v>6.9750886901346777E-3</v>
      </c>
      <c r="F47" s="4">
        <f>0.005/SQRT(3)</f>
        <v>2.886751345948129E-3</v>
      </c>
      <c r="G47" s="9" t="s">
        <v>104</v>
      </c>
      <c r="H47" s="4" t="s">
        <v>47</v>
      </c>
      <c r="I47" s="40">
        <f>B12</f>
        <v>6.8643950719533137E-2</v>
      </c>
      <c r="J47" s="50" t="s">
        <v>80</v>
      </c>
      <c r="K47" s="4" t="s">
        <v>68</v>
      </c>
      <c r="L47" s="4"/>
      <c r="M47" s="4"/>
      <c r="N47" s="4"/>
    </row>
    <row r="48" spans="1:14" ht="15.75" x14ac:dyDescent="0.3">
      <c r="A48" s="59" t="s">
        <v>49</v>
      </c>
      <c r="B48" s="15">
        <f>(EXP(-139.3441+157570.1/(B36+273.15)+(-66423080/(B36+273.15)^2)+(12438000000/(B36+273.15)^3)+(-862194900000/(B36+273.15)^4)))*($B$28-101325*(EXP((((-216961*(1/(B36+273.15)))-3840.7)*(1/(B36+273.15))+11.8571))))/(101325-101325*(EXP((((-216961*(1/(B36+273.15)))-3840.7)*(1/(B36+273.15))+11.8571))))/((EXP(-139.3441+157570.1/(B36+273.15)+(-66423080/(B36+273.15)^2)+(12438000000/(B36+273.15)^3)+(-862194900000/(B36+273.15)^4)))*($B$28-101325*(EXP((((-216961*(1/(B36+273.15)))-3840.7)*(1/(B36+273.15))+11.8571))))/(101325-101325*(EXP((((-216961*(1/(B36+273.15)))-3840.7)*(1/(B36+273.15))+11.8571))))*EXP(-B35*(0.017674-10.754/(B36+273.15)+2140.7/((B36+273.15)^2))))</f>
        <v>1.0010198353308717</v>
      </c>
      <c r="C48" s="23" t="s">
        <v>50</v>
      </c>
      <c r="D48" s="24">
        <f>SQRT(SUMSQ(F48))</f>
        <v>2.9440110140393003E-4</v>
      </c>
      <c r="E48" s="25">
        <f>D48/B48</f>
        <v>2.9410116664333656E-4</v>
      </c>
      <c r="F48" s="4">
        <f>(B48-1)*0.5/SQRT(3)</f>
        <v>2.9440110140393003E-4</v>
      </c>
      <c r="G48" s="28" t="s">
        <v>69</v>
      </c>
      <c r="H48" s="4"/>
      <c r="I48" s="4"/>
      <c r="J48" s="4"/>
      <c r="K48" s="4"/>
      <c r="L48" s="4"/>
      <c r="M48" s="4"/>
      <c r="N48" s="4"/>
    </row>
    <row r="49" spans="1:16" ht="15.75" x14ac:dyDescent="0.3">
      <c r="A49" s="9" t="s">
        <v>97</v>
      </c>
      <c r="B49" s="27">
        <v>0</v>
      </c>
      <c r="C49" s="23" t="s">
        <v>8</v>
      </c>
      <c r="D49" s="24">
        <f t="shared" ref="D49:D52" si="1">SQRT(SUMSQ(F49))</f>
        <v>2.6797984166536263E-3</v>
      </c>
      <c r="E49" s="25"/>
      <c r="F49" s="4">
        <f>ABS(B14)*B37*B33/100/SQRT(3)</f>
        <v>2.6797984166536263E-3</v>
      </c>
      <c r="G49" s="28" t="s">
        <v>105</v>
      </c>
      <c r="H49" s="4"/>
      <c r="I49" s="4"/>
      <c r="J49" s="4"/>
      <c r="K49" s="4"/>
      <c r="L49" s="4"/>
      <c r="M49" s="4"/>
      <c r="N49" s="4"/>
    </row>
    <row r="50" spans="1:16" ht="15.75" x14ac:dyDescent="0.3">
      <c r="A50" s="9" t="s">
        <v>98</v>
      </c>
      <c r="B50" s="27">
        <v>0</v>
      </c>
      <c r="C50" s="23" t="s">
        <v>8</v>
      </c>
      <c r="D50" s="24">
        <f t="shared" si="1"/>
        <v>1.4551178126016695E-2</v>
      </c>
      <c r="E50" s="25"/>
      <c r="F50" s="4">
        <f>ABS(B36-B29)*B15/100*B33/SQRT(3)</f>
        <v>1.4551178126016695E-2</v>
      </c>
      <c r="G50" s="28" t="s">
        <v>106</v>
      </c>
      <c r="H50" s="4"/>
      <c r="I50" s="4"/>
      <c r="J50" s="4"/>
      <c r="K50" s="4"/>
      <c r="L50" s="4"/>
      <c r="M50" s="4"/>
      <c r="N50" s="4"/>
    </row>
    <row r="51" spans="1:16" ht="15.75" x14ac:dyDescent="0.3">
      <c r="A51" s="9" t="s">
        <v>99</v>
      </c>
      <c r="B51" s="27">
        <v>0</v>
      </c>
      <c r="C51" s="23" t="s">
        <v>8</v>
      </c>
      <c r="D51" s="24">
        <f t="shared" si="1"/>
        <v>1.515339337423089E-2</v>
      </c>
      <c r="E51" s="25"/>
      <c r="F51" s="4">
        <f>(ABS(B16)+B17)*B38/SQRT(3)</f>
        <v>1.515339337423089E-2</v>
      </c>
      <c r="G51" s="28" t="s">
        <v>127</v>
      </c>
      <c r="H51" s="4"/>
      <c r="I51" s="4"/>
      <c r="J51" s="4"/>
      <c r="K51" s="4"/>
      <c r="L51" s="4"/>
      <c r="M51" s="4"/>
      <c r="N51" s="4"/>
    </row>
    <row r="52" spans="1:16" ht="15.75" x14ac:dyDescent="0.3">
      <c r="A52" s="9" t="s">
        <v>100</v>
      </c>
      <c r="B52" s="27">
        <v>0</v>
      </c>
      <c r="C52" s="23" t="s">
        <v>8</v>
      </c>
      <c r="D52" s="24">
        <f t="shared" si="1"/>
        <v>0</v>
      </c>
      <c r="E52" s="25"/>
      <c r="F52" s="1">
        <f>IF(B33&lt;11,(0),((B33-11)*B18))/SQRT(3)</f>
        <v>0</v>
      </c>
      <c r="G52" s="28" t="s">
        <v>108</v>
      </c>
    </row>
    <row r="53" spans="1:16" x14ac:dyDescent="0.2">
      <c r="A53" s="9"/>
      <c r="C53" s="23"/>
      <c r="D53" s="24"/>
      <c r="E53" s="29"/>
      <c r="G53" s="28"/>
    </row>
    <row r="54" spans="1:16" x14ac:dyDescent="0.2">
      <c r="A54" s="9"/>
      <c r="B54" s="27"/>
      <c r="C54" s="23"/>
      <c r="D54" s="24"/>
      <c r="E54" s="29"/>
      <c r="G54" s="28"/>
    </row>
    <row r="55" spans="1:16" ht="15" thickBot="1" x14ac:dyDescent="0.3">
      <c r="A55" s="17" t="s">
        <v>42</v>
      </c>
      <c r="B55" s="18" t="s">
        <v>4</v>
      </c>
      <c r="C55" s="19" t="s">
        <v>5</v>
      </c>
      <c r="D55" s="20" t="s">
        <v>43</v>
      </c>
      <c r="G55" s="9" t="s">
        <v>86</v>
      </c>
      <c r="H55" s="9" t="s">
        <v>87</v>
      </c>
      <c r="I55" s="9" t="s">
        <v>88</v>
      </c>
      <c r="J55" s="9" t="s">
        <v>89</v>
      </c>
      <c r="K55" s="9" t="s">
        <v>94</v>
      </c>
      <c r="L55" s="59" t="s">
        <v>49</v>
      </c>
      <c r="M55" s="9" t="s">
        <v>97</v>
      </c>
      <c r="N55" s="9" t="s">
        <v>98</v>
      </c>
      <c r="O55" s="9" t="s">
        <v>99</v>
      </c>
      <c r="P55" s="9" t="s">
        <v>100</v>
      </c>
    </row>
    <row r="56" spans="1:16" ht="14.25" x14ac:dyDescent="0.25">
      <c r="A56" s="9" t="s">
        <v>86</v>
      </c>
      <c r="B56" s="22">
        <f>B43</f>
        <v>0</v>
      </c>
      <c r="C56" s="23" t="s">
        <v>8</v>
      </c>
      <c r="D56" s="24">
        <f>D43</f>
        <v>5.6983562864930679E-3</v>
      </c>
      <c r="G56" s="30">
        <f>$B56+$D56</f>
        <v>5.6983562864930679E-3</v>
      </c>
      <c r="H56" s="1">
        <f t="shared" ref="H56:P56" si="2">$B56</f>
        <v>0</v>
      </c>
      <c r="I56" s="1">
        <f t="shared" si="2"/>
        <v>0</v>
      </c>
      <c r="J56" s="1">
        <f t="shared" si="2"/>
        <v>0</v>
      </c>
      <c r="K56" s="1">
        <f t="shared" si="2"/>
        <v>0</v>
      </c>
      <c r="L56" s="1">
        <f t="shared" si="2"/>
        <v>0</v>
      </c>
      <c r="M56" s="1">
        <f t="shared" si="2"/>
        <v>0</v>
      </c>
      <c r="N56" s="1">
        <f t="shared" si="2"/>
        <v>0</v>
      </c>
      <c r="O56" s="1">
        <f t="shared" si="2"/>
        <v>0</v>
      </c>
      <c r="P56" s="1">
        <f t="shared" si="2"/>
        <v>0</v>
      </c>
    </row>
    <row r="57" spans="1:16" ht="14.25" x14ac:dyDescent="0.25">
      <c r="A57" s="9" t="s">
        <v>87</v>
      </c>
      <c r="B57" s="22">
        <f t="shared" ref="B57:B65" si="3">B44</f>
        <v>8.9499999999999993</v>
      </c>
      <c r="C57" s="23" t="s">
        <v>8</v>
      </c>
      <c r="D57" s="24">
        <f t="shared" ref="D57:D65" si="4">D44</f>
        <v>4.8541959571904332E-3</v>
      </c>
      <c r="G57" s="1">
        <f t="shared" ref="G57:P65" si="5">$B57</f>
        <v>8.9499999999999993</v>
      </c>
      <c r="H57" s="30">
        <f>$B57+$D57</f>
        <v>8.9548541959571892</v>
      </c>
      <c r="I57" s="1">
        <f t="shared" si="5"/>
        <v>8.9499999999999993</v>
      </c>
      <c r="J57" s="1">
        <f t="shared" si="5"/>
        <v>8.9499999999999993</v>
      </c>
      <c r="K57" s="1">
        <f t="shared" si="5"/>
        <v>8.9499999999999993</v>
      </c>
      <c r="L57" s="1">
        <f t="shared" si="5"/>
        <v>8.9499999999999993</v>
      </c>
      <c r="M57" s="1">
        <f t="shared" si="5"/>
        <v>8.9499999999999993</v>
      </c>
      <c r="N57" s="1">
        <f t="shared" si="5"/>
        <v>8.9499999999999993</v>
      </c>
      <c r="O57" s="1">
        <f t="shared" si="5"/>
        <v>8.9499999999999993</v>
      </c>
      <c r="P57" s="1">
        <f t="shared" si="5"/>
        <v>8.9499999999999993</v>
      </c>
    </row>
    <row r="58" spans="1:16" ht="14.25" x14ac:dyDescent="0.25">
      <c r="A58" s="9" t="s">
        <v>88</v>
      </c>
      <c r="B58" s="22">
        <f t="shared" si="3"/>
        <v>0</v>
      </c>
      <c r="C58" s="23" t="s">
        <v>8</v>
      </c>
      <c r="D58" s="24">
        <f t="shared" si="4"/>
        <v>5.773502691896258E-3</v>
      </c>
      <c r="G58" s="1">
        <f t="shared" si="5"/>
        <v>0</v>
      </c>
      <c r="H58" s="1">
        <f t="shared" si="5"/>
        <v>0</v>
      </c>
      <c r="I58" s="30">
        <f>$B58+$D58</f>
        <v>5.773502691896258E-3</v>
      </c>
      <c r="J58" s="1">
        <f t="shared" si="5"/>
        <v>0</v>
      </c>
      <c r="K58" s="1">
        <f t="shared" si="5"/>
        <v>0</v>
      </c>
      <c r="L58" s="1">
        <f t="shared" si="5"/>
        <v>0</v>
      </c>
      <c r="M58" s="1">
        <f t="shared" si="5"/>
        <v>0</v>
      </c>
      <c r="N58" s="1">
        <f t="shared" si="5"/>
        <v>0</v>
      </c>
      <c r="O58" s="1">
        <f t="shared" si="5"/>
        <v>0</v>
      </c>
      <c r="P58" s="1">
        <f t="shared" si="5"/>
        <v>0</v>
      </c>
    </row>
    <row r="59" spans="1:16" ht="14.25" x14ac:dyDescent="0.25">
      <c r="A59" s="9" t="s">
        <v>89</v>
      </c>
      <c r="B59" s="22">
        <f t="shared" si="3"/>
        <v>8.8906837598682564</v>
      </c>
      <c r="C59" s="23" t="s">
        <v>8</v>
      </c>
      <c r="D59" s="24">
        <f t="shared" si="4"/>
        <v>3.1E-2</v>
      </c>
      <c r="G59" s="1">
        <f t="shared" si="5"/>
        <v>8.8906837598682564</v>
      </c>
      <c r="H59" s="1">
        <f t="shared" si="5"/>
        <v>8.8906837598682564</v>
      </c>
      <c r="I59" s="1">
        <f t="shared" si="5"/>
        <v>8.8906837598682564</v>
      </c>
      <c r="J59" s="30">
        <f>$B59+$D59</f>
        <v>8.921683759868257</v>
      </c>
      <c r="K59" s="1">
        <f t="shared" si="5"/>
        <v>8.8906837598682564</v>
      </c>
      <c r="L59" s="1">
        <f t="shared" si="5"/>
        <v>8.8906837598682564</v>
      </c>
      <c r="M59" s="1">
        <f t="shared" si="5"/>
        <v>8.8906837598682564</v>
      </c>
      <c r="N59" s="1">
        <f t="shared" si="5"/>
        <v>8.8906837598682564</v>
      </c>
      <c r="O59" s="1">
        <f t="shared" si="5"/>
        <v>8.8906837598682564</v>
      </c>
      <c r="P59" s="1">
        <f t="shared" si="5"/>
        <v>8.8906837598682564</v>
      </c>
    </row>
    <row r="60" spans="1:16" ht="14.25" x14ac:dyDescent="0.25">
      <c r="A60" s="9" t="s">
        <v>94</v>
      </c>
      <c r="B60" s="22">
        <f t="shared" si="3"/>
        <v>9.85</v>
      </c>
      <c r="C60" s="23" t="s">
        <v>8</v>
      </c>
      <c r="D60" s="24">
        <f t="shared" si="4"/>
        <v>6.8704623597826572E-2</v>
      </c>
      <c r="E60" s="6"/>
      <c r="G60" s="1">
        <f t="shared" si="5"/>
        <v>9.85</v>
      </c>
      <c r="H60" s="1">
        <f t="shared" si="5"/>
        <v>9.85</v>
      </c>
      <c r="I60" s="1">
        <f t="shared" si="5"/>
        <v>9.85</v>
      </c>
      <c r="J60" s="1">
        <f t="shared" si="5"/>
        <v>9.85</v>
      </c>
      <c r="K60" s="30">
        <f>$B60+$D60</f>
        <v>9.9187046235978258</v>
      </c>
      <c r="L60" s="1">
        <f t="shared" si="5"/>
        <v>9.85</v>
      </c>
      <c r="M60" s="1">
        <f t="shared" si="5"/>
        <v>9.85</v>
      </c>
      <c r="N60" s="1">
        <f t="shared" si="5"/>
        <v>9.85</v>
      </c>
      <c r="O60" s="1">
        <f t="shared" si="5"/>
        <v>9.85</v>
      </c>
      <c r="P60" s="1">
        <f t="shared" si="5"/>
        <v>9.85</v>
      </c>
    </row>
    <row r="61" spans="1:16" x14ac:dyDescent="0.2">
      <c r="A61" s="59" t="s">
        <v>49</v>
      </c>
      <c r="B61" s="22">
        <f t="shared" si="3"/>
        <v>1.0010198353308717</v>
      </c>
      <c r="C61" s="23" t="s">
        <v>50</v>
      </c>
      <c r="D61" s="24">
        <f t="shared" si="4"/>
        <v>2.9440110140393003E-4</v>
      </c>
      <c r="G61" s="1">
        <f t="shared" si="5"/>
        <v>1.0010198353308717</v>
      </c>
      <c r="H61" s="1">
        <f t="shared" si="5"/>
        <v>1.0010198353308717</v>
      </c>
      <c r="I61" s="1">
        <f t="shared" si="5"/>
        <v>1.0010198353308717</v>
      </c>
      <c r="J61" s="1">
        <f t="shared" si="5"/>
        <v>1.0010198353308717</v>
      </c>
      <c r="K61" s="1">
        <f t="shared" si="5"/>
        <v>1.0010198353308717</v>
      </c>
      <c r="L61" s="30">
        <f>$B61+$D61</f>
        <v>1.0013142364322756</v>
      </c>
      <c r="M61" s="1">
        <f t="shared" si="5"/>
        <v>1.0010198353308717</v>
      </c>
      <c r="N61" s="1">
        <f t="shared" si="5"/>
        <v>1.0010198353308717</v>
      </c>
      <c r="O61" s="1">
        <f t="shared" si="5"/>
        <v>1.0010198353308717</v>
      </c>
      <c r="P61" s="1">
        <f t="shared" si="5"/>
        <v>1.0010198353308717</v>
      </c>
    </row>
    <row r="62" spans="1:16" ht="14.25" x14ac:dyDescent="0.25">
      <c r="A62" s="9" t="s">
        <v>97</v>
      </c>
      <c r="B62" s="22">
        <f t="shared" si="3"/>
        <v>0</v>
      </c>
      <c r="C62" s="23" t="s">
        <v>8</v>
      </c>
      <c r="D62" s="24">
        <f t="shared" si="4"/>
        <v>2.6797984166536263E-3</v>
      </c>
      <c r="G62" s="1">
        <f t="shared" si="5"/>
        <v>0</v>
      </c>
      <c r="H62" s="1">
        <f t="shared" si="5"/>
        <v>0</v>
      </c>
      <c r="I62" s="1">
        <f t="shared" si="5"/>
        <v>0</v>
      </c>
      <c r="J62" s="1">
        <f t="shared" si="5"/>
        <v>0</v>
      </c>
      <c r="K62" s="1">
        <f t="shared" si="5"/>
        <v>0</v>
      </c>
      <c r="L62" s="1">
        <f t="shared" si="5"/>
        <v>0</v>
      </c>
      <c r="M62" s="30">
        <f>$B62+$D62</f>
        <v>2.6797984166536263E-3</v>
      </c>
      <c r="N62" s="1">
        <f t="shared" si="5"/>
        <v>0</v>
      </c>
      <c r="O62" s="1">
        <f t="shared" si="5"/>
        <v>0</v>
      </c>
      <c r="P62" s="1">
        <f t="shared" si="5"/>
        <v>0</v>
      </c>
    </row>
    <row r="63" spans="1:16" ht="14.25" x14ac:dyDescent="0.25">
      <c r="A63" s="9" t="s">
        <v>98</v>
      </c>
      <c r="B63" s="22">
        <f t="shared" si="3"/>
        <v>0</v>
      </c>
      <c r="C63" s="23" t="s">
        <v>8</v>
      </c>
      <c r="D63" s="24">
        <f t="shared" si="4"/>
        <v>1.4551178126016695E-2</v>
      </c>
      <c r="G63" s="1">
        <f t="shared" si="5"/>
        <v>0</v>
      </c>
      <c r="H63" s="1">
        <f t="shared" si="5"/>
        <v>0</v>
      </c>
      <c r="I63" s="1">
        <f t="shared" si="5"/>
        <v>0</v>
      </c>
      <c r="J63" s="1">
        <f t="shared" si="5"/>
        <v>0</v>
      </c>
      <c r="K63" s="1">
        <f t="shared" si="5"/>
        <v>0</v>
      </c>
      <c r="L63" s="1">
        <f t="shared" si="5"/>
        <v>0</v>
      </c>
      <c r="M63" s="1">
        <f t="shared" si="5"/>
        <v>0</v>
      </c>
      <c r="N63" s="30">
        <f>$B63+$D63</f>
        <v>1.4551178126016695E-2</v>
      </c>
      <c r="O63" s="1">
        <f t="shared" si="5"/>
        <v>0</v>
      </c>
      <c r="P63" s="1">
        <f t="shared" si="5"/>
        <v>0</v>
      </c>
    </row>
    <row r="64" spans="1:16" ht="14.25" x14ac:dyDescent="0.25">
      <c r="A64" s="9" t="s">
        <v>99</v>
      </c>
      <c r="B64" s="22">
        <f t="shared" si="3"/>
        <v>0</v>
      </c>
      <c r="C64" s="23" t="s">
        <v>8</v>
      </c>
      <c r="D64" s="24">
        <f t="shared" si="4"/>
        <v>1.515339337423089E-2</v>
      </c>
      <c r="G64" s="1">
        <f t="shared" si="5"/>
        <v>0</v>
      </c>
      <c r="H64" s="1">
        <f t="shared" si="5"/>
        <v>0</v>
      </c>
      <c r="I64" s="1">
        <f t="shared" si="5"/>
        <v>0</v>
      </c>
      <c r="J64" s="1">
        <f t="shared" si="5"/>
        <v>0</v>
      </c>
      <c r="K64" s="1">
        <f t="shared" si="5"/>
        <v>0</v>
      </c>
      <c r="L64" s="1">
        <f t="shared" si="5"/>
        <v>0</v>
      </c>
      <c r="M64" s="1">
        <f t="shared" si="5"/>
        <v>0</v>
      </c>
      <c r="N64" s="1">
        <f t="shared" si="5"/>
        <v>0</v>
      </c>
      <c r="O64" s="30">
        <f>$B64+$D64</f>
        <v>1.515339337423089E-2</v>
      </c>
      <c r="P64" s="1">
        <f t="shared" si="5"/>
        <v>0</v>
      </c>
    </row>
    <row r="65" spans="1:16" ht="14.25" x14ac:dyDescent="0.25">
      <c r="A65" s="9" t="s">
        <v>100</v>
      </c>
      <c r="B65" s="22">
        <f t="shared" si="3"/>
        <v>0</v>
      </c>
      <c r="C65" s="23" t="s">
        <v>8</v>
      </c>
      <c r="D65" s="24">
        <f t="shared" si="4"/>
        <v>0</v>
      </c>
      <c r="G65" s="1">
        <f t="shared" si="5"/>
        <v>0</v>
      </c>
      <c r="H65" s="1">
        <f t="shared" si="5"/>
        <v>0</v>
      </c>
      <c r="I65" s="1">
        <f t="shared" si="5"/>
        <v>0</v>
      </c>
      <c r="J65" s="1">
        <f t="shared" si="5"/>
        <v>0</v>
      </c>
      <c r="K65" s="1">
        <f t="shared" si="5"/>
        <v>0</v>
      </c>
      <c r="L65" s="1">
        <f t="shared" si="5"/>
        <v>0</v>
      </c>
      <c r="M65" s="1">
        <f t="shared" si="5"/>
        <v>0</v>
      </c>
      <c r="N65" s="1">
        <f t="shared" si="5"/>
        <v>0</v>
      </c>
      <c r="O65" s="1">
        <f t="shared" si="5"/>
        <v>0</v>
      </c>
      <c r="P65" s="30">
        <f>$B65+$D65</f>
        <v>0</v>
      </c>
    </row>
    <row r="67" spans="1:16" ht="15.75" x14ac:dyDescent="0.3">
      <c r="A67" s="4" t="s">
        <v>51</v>
      </c>
      <c r="B67" s="31">
        <f>(B60+B62+B63+B64+B65)/B61/((B57-B56)/(B59-B58))-((B56*B59-B58*B57)/(B59-B58))/((B57-B56)/(B59-B58))</f>
        <v>9.7747503625206136</v>
      </c>
      <c r="C67" s="23" t="s">
        <v>8</v>
      </c>
      <c r="E67" s="51"/>
      <c r="F67" s="51"/>
      <c r="G67" s="1">
        <f>(((G60+G62+G63+G64+G65)/G61)-INTERCEPT(G56:G57,G58:G59))/SLOPE(G56:G57,G58:G59)</f>
        <v>9.7753135955916317</v>
      </c>
      <c r="H67" s="1">
        <f t="shared" ref="H67:P67" si="6">(((H60+H62+H63+H64+H65)/H61)-INTERCEPT(H56:H57,H58:H59))/SLOPE(H56:H57,H58:H59)</f>
        <v>9.7694517219560701</v>
      </c>
      <c r="I67" s="1">
        <f t="shared" si="6"/>
        <v>9.7741762603426388</v>
      </c>
      <c r="J67" s="1">
        <f t="shared" si="6"/>
        <v>9.8088329223576789</v>
      </c>
      <c r="K67" s="1">
        <f t="shared" si="6"/>
        <v>9.8429301132231224</v>
      </c>
      <c r="L67" s="1">
        <f t="shared" si="6"/>
        <v>9.7718764422586517</v>
      </c>
      <c r="M67" s="1">
        <f t="shared" si="6"/>
        <v>9.7774096884642354</v>
      </c>
      <c r="N67" s="1">
        <f t="shared" si="6"/>
        <v>9.7891903760903975</v>
      </c>
      <c r="O67" s="1">
        <f t="shared" si="6"/>
        <v>9.7897879906808338</v>
      </c>
      <c r="P67" s="1">
        <f t="shared" si="6"/>
        <v>9.7747503625206136</v>
      </c>
    </row>
    <row r="68" spans="1:16" ht="15.75" x14ac:dyDescent="0.3">
      <c r="A68" s="4" t="s">
        <v>52</v>
      </c>
      <c r="B68" s="32">
        <f>SQRT(P70)</f>
        <v>7.9301938136881536E-2</v>
      </c>
      <c r="C68" s="4" t="s">
        <v>8</v>
      </c>
      <c r="G68" s="1">
        <f>G67-$B$67</f>
        <v>5.6323307101813214E-4</v>
      </c>
      <c r="H68" s="1">
        <f t="shared" ref="H68:P68" si="7">H67-$B$67</f>
        <v>-5.2986405645434331E-3</v>
      </c>
      <c r="I68" s="1">
        <f t="shared" si="7"/>
        <v>-5.7410217797482233E-4</v>
      </c>
      <c r="J68" s="1">
        <f t="shared" si="7"/>
        <v>3.4082559837065318E-2</v>
      </c>
      <c r="K68" s="1">
        <f t="shared" si="7"/>
        <v>6.8179750702508812E-2</v>
      </c>
      <c r="L68" s="1">
        <f t="shared" si="7"/>
        <v>-2.8739202619618709E-3</v>
      </c>
      <c r="M68" s="1">
        <f t="shared" si="7"/>
        <v>2.6593259436218375E-3</v>
      </c>
      <c r="N68" s="1">
        <f t="shared" si="7"/>
        <v>1.4440013569783972E-2</v>
      </c>
      <c r="O68" s="1">
        <f t="shared" si="7"/>
        <v>1.5037628160220251E-2</v>
      </c>
      <c r="P68" s="1">
        <f t="shared" si="7"/>
        <v>0</v>
      </c>
    </row>
    <row r="69" spans="1:16" ht="15.75" x14ac:dyDescent="0.3">
      <c r="A69" s="33" t="s">
        <v>53</v>
      </c>
      <c r="B69" s="34">
        <f>B68*2</f>
        <v>0.15860387627376307</v>
      </c>
      <c r="C69" s="33" t="s">
        <v>54</v>
      </c>
      <c r="G69" s="1">
        <f>G68^2</f>
        <v>3.1723149228851626E-7</v>
      </c>
      <c r="H69" s="1">
        <f t="shared" ref="H69:P69" si="8">H68^2</f>
        <v>2.8075591832225153E-5</v>
      </c>
      <c r="I69" s="1">
        <f t="shared" si="8"/>
        <v>3.2959331075543456E-7</v>
      </c>
      <c r="J69" s="1">
        <f t="shared" si="8"/>
        <v>1.1616208850471379E-3</v>
      </c>
      <c r="K69" s="1">
        <f t="shared" si="8"/>
        <v>4.6484784058562507E-3</v>
      </c>
      <c r="L69" s="1">
        <f t="shared" si="8"/>
        <v>8.2594176721149879E-6</v>
      </c>
      <c r="M69" s="1">
        <f t="shared" si="8"/>
        <v>7.0720144744201766E-6</v>
      </c>
      <c r="N69" s="1">
        <f t="shared" si="8"/>
        <v>2.0851399189554523E-4</v>
      </c>
      <c r="O69" s="1">
        <f t="shared" si="8"/>
        <v>2.261302606850491E-4</v>
      </c>
      <c r="P69" s="1">
        <f t="shared" si="8"/>
        <v>0</v>
      </c>
    </row>
    <row r="70" spans="1:16" ht="15.75" x14ac:dyDescent="0.3">
      <c r="A70" s="33" t="s">
        <v>70</v>
      </c>
      <c r="B70" s="34">
        <f>B69/B67*100</f>
        <v>1.6225874870615511</v>
      </c>
      <c r="C70" s="33" t="s">
        <v>71</v>
      </c>
      <c r="P70" s="1">
        <f>SUM(G69:P69)</f>
        <v>6.2887973922657872E-3</v>
      </c>
    </row>
    <row r="71" spans="1:16" ht="15.75" x14ac:dyDescent="0.3">
      <c r="B71" s="4" t="s">
        <v>77</v>
      </c>
      <c r="C71" s="1">
        <f>('Table S2'!B67-'Table S3'!B66)/SQRT('Table S2'!B69^2+'Table S3'!B68^2)</f>
        <v>-0.76396038514869813</v>
      </c>
      <c r="E71" s="4" t="s">
        <v>55</v>
      </c>
      <c r="G71" s="3">
        <f>G69/$P$70</f>
        <v>5.0443904056864694E-5</v>
      </c>
      <c r="H71" s="3">
        <f t="shared" ref="H71:P71" si="9">H69/$P$70</f>
        <v>4.4643816744285051E-3</v>
      </c>
      <c r="I71" s="3">
        <f t="shared" si="9"/>
        <v>5.240959283579107E-5</v>
      </c>
      <c r="J71" s="3">
        <f>J69/$P$70</f>
        <v>0.18471272209782835</v>
      </c>
      <c r="K71" s="3">
        <f t="shared" si="9"/>
        <v>0.73916809779452175</v>
      </c>
      <c r="L71" s="3">
        <f t="shared" si="9"/>
        <v>1.313354073431074E-3</v>
      </c>
      <c r="M71" s="3">
        <f t="shared" si="9"/>
        <v>1.1245416306649696E-3</v>
      </c>
      <c r="N71" s="3">
        <f>N69/$P$70</f>
        <v>3.3156417497562256E-2</v>
      </c>
      <c r="O71" s="3">
        <f t="shared" si="9"/>
        <v>3.595763173467046E-2</v>
      </c>
      <c r="P71" s="3">
        <f t="shared" si="9"/>
        <v>0</v>
      </c>
    </row>
    <row r="72" spans="1:16" x14ac:dyDescent="0.2">
      <c r="P72" s="52">
        <f>SUM(G71:P71)</f>
        <v>1</v>
      </c>
    </row>
  </sheetData>
  <mergeCells count="4">
    <mergeCell ref="A41:E41"/>
    <mergeCell ref="F41:K41"/>
    <mergeCell ref="F42:H42"/>
    <mergeCell ref="I42:K42"/>
  </mergeCells>
  <pageMargins left="0.7" right="0.7" top="0.75" bottom="0.75" header="0.3" footer="0.3"/>
  <pageSetup paperSize="9" scale="46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6</xdr:col>
                <xdr:colOff>142875</xdr:colOff>
                <xdr:row>2</xdr:row>
                <xdr:rowOff>76200</xdr:rowOff>
              </from>
              <to>
                <xdr:col>9</xdr:col>
                <xdr:colOff>152400</xdr:colOff>
                <xdr:row>5</xdr:row>
                <xdr:rowOff>57150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r:id="rId7">
            <anchor moveWithCells="1" sizeWithCells="1">
              <from>
                <xdr:col>9</xdr:col>
                <xdr:colOff>476250</xdr:colOff>
                <xdr:row>2</xdr:row>
                <xdr:rowOff>0</xdr:rowOff>
              </from>
              <to>
                <xdr:col>12</xdr:col>
                <xdr:colOff>28575</xdr:colOff>
                <xdr:row>4</xdr:row>
                <xdr:rowOff>142875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 sizeWithCells="1">
              <from>
                <xdr:col>0</xdr:col>
                <xdr:colOff>533400</xdr:colOff>
                <xdr:row>2</xdr:row>
                <xdr:rowOff>47625</xdr:rowOff>
              </from>
              <to>
                <xdr:col>5</xdr:col>
                <xdr:colOff>361950</xdr:colOff>
                <xdr:row>5</xdr:row>
                <xdr:rowOff>28575</xdr:rowOff>
              </to>
            </anchor>
          </objectPr>
        </oleObject>
      </mc:Choice>
      <mc:Fallback>
        <oleObject progId="Equation.3" shapeId="4099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1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13.42578125" style="1" customWidth="1"/>
    <col min="3" max="4" width="9.140625" style="1"/>
    <col min="5" max="5" width="12.42578125" style="1" bestFit="1" customWidth="1"/>
    <col min="6" max="6" width="12.7109375" style="1" bestFit="1" customWidth="1"/>
    <col min="7" max="7" width="12.140625" style="1" bestFit="1" customWidth="1"/>
    <col min="8" max="8" width="19.28515625" style="1" customWidth="1"/>
    <col min="9" max="9" width="7" style="1" customWidth="1"/>
    <col min="10" max="10" width="10.140625" style="1" customWidth="1"/>
    <col min="11" max="22" width="9.140625" style="1"/>
    <col min="23" max="23" width="12.5703125" style="1" customWidth="1"/>
    <col min="24" max="16384" width="9.140625" style="1"/>
  </cols>
  <sheetData>
    <row r="1" spans="1:13" ht="12.95" x14ac:dyDescent="0.3">
      <c r="A1" s="5" t="s">
        <v>183</v>
      </c>
    </row>
    <row r="2" spans="1:13" x14ac:dyDescent="0.2">
      <c r="A2" s="5" t="s">
        <v>182</v>
      </c>
    </row>
    <row r="4" spans="1:13" ht="12.6" customHeight="1" x14ac:dyDescent="0.3">
      <c r="A4" s="5"/>
    </row>
    <row r="5" spans="1:13" ht="12.6" x14ac:dyDescent="0.25">
      <c r="A5" s="6"/>
    </row>
    <row r="6" spans="1:13" ht="12.6" x14ac:dyDescent="0.25">
      <c r="A6" s="4"/>
    </row>
    <row r="8" spans="1:13" s="2" customFormat="1" ht="18" x14ac:dyDescent="0.4">
      <c r="A8" s="73" t="s">
        <v>120</v>
      </c>
    </row>
    <row r="9" spans="1:13" s="36" customFormat="1" ht="11.45" x14ac:dyDescent="0.25">
      <c r="A9" s="36" t="s">
        <v>60</v>
      </c>
    </row>
    <row r="10" spans="1:13" s="36" customFormat="1" ht="15" x14ac:dyDescent="0.4">
      <c r="A10" s="9" t="s">
        <v>78</v>
      </c>
      <c r="B10" s="44">
        <v>1.9832633040858201E-2</v>
      </c>
      <c r="C10" s="38" t="s">
        <v>8</v>
      </c>
      <c r="D10" s="38" t="s">
        <v>57</v>
      </c>
    </row>
    <row r="11" spans="1:13" s="36" customFormat="1" ht="14.45" customHeight="1" x14ac:dyDescent="0.4">
      <c r="A11" s="9" t="s">
        <v>79</v>
      </c>
      <c r="B11" s="44">
        <v>1.9832633040858156E-2</v>
      </c>
      <c r="C11" s="38" t="s">
        <v>8</v>
      </c>
      <c r="D11" s="38" t="s">
        <v>61</v>
      </c>
      <c r="E11" s="42"/>
    </row>
    <row r="12" spans="1:13" s="36" customFormat="1" ht="14.45" customHeight="1" x14ac:dyDescent="0.4">
      <c r="A12" s="9" t="s">
        <v>80</v>
      </c>
      <c r="B12" s="44">
        <v>5.1187980221346824E-2</v>
      </c>
      <c r="C12" s="38" t="s">
        <v>8</v>
      </c>
      <c r="D12" s="38" t="s">
        <v>58</v>
      </c>
      <c r="E12" s="38"/>
      <c r="F12" s="37"/>
      <c r="G12" s="37"/>
      <c r="K12" s="41"/>
      <c r="L12" s="41"/>
      <c r="M12" s="41"/>
    </row>
    <row r="13" spans="1:13" s="36" customFormat="1" ht="14.45" customHeight="1" x14ac:dyDescent="0.4">
      <c r="A13" s="9" t="s">
        <v>81</v>
      </c>
      <c r="B13" s="37">
        <v>3.1E-2</v>
      </c>
      <c r="C13" s="38" t="s">
        <v>8</v>
      </c>
      <c r="D13" s="55" t="s">
        <v>203</v>
      </c>
      <c r="E13" s="38"/>
      <c r="F13" s="37"/>
      <c r="G13" s="37"/>
    </row>
    <row r="14" spans="1:13" s="36" customFormat="1" ht="14.45" customHeight="1" x14ac:dyDescent="0.4">
      <c r="A14" s="9" t="s">
        <v>82</v>
      </c>
      <c r="B14" s="39">
        <v>1.461426052270281E-2</v>
      </c>
      <c r="C14" s="38" t="s">
        <v>122</v>
      </c>
      <c r="D14" s="38" t="s">
        <v>62</v>
      </c>
      <c r="E14" s="38"/>
      <c r="F14" s="37"/>
      <c r="G14" s="37"/>
    </row>
    <row r="15" spans="1:13" s="36" customFormat="1" ht="14.45" customHeight="1" x14ac:dyDescent="0.25">
      <c r="A15" s="9" t="s">
        <v>83</v>
      </c>
      <c r="B15" s="44">
        <v>-7.7609411222321581E-2</v>
      </c>
      <c r="C15" s="38" t="s">
        <v>63</v>
      </c>
      <c r="D15" s="38" t="s">
        <v>64</v>
      </c>
      <c r="E15" s="38"/>
      <c r="F15" s="37"/>
      <c r="G15" s="37"/>
    </row>
    <row r="16" spans="1:13" s="36" customFormat="1" ht="14.45" customHeight="1" x14ac:dyDescent="0.4">
      <c r="A16" s="9" t="s">
        <v>84</v>
      </c>
      <c r="B16" s="39">
        <v>3.7617436074540932E-3</v>
      </c>
      <c r="C16" s="38" t="s">
        <v>8</v>
      </c>
      <c r="D16" s="38" t="s">
        <v>107</v>
      </c>
      <c r="E16" s="38"/>
      <c r="F16" s="37"/>
      <c r="G16" s="37"/>
    </row>
    <row r="17" spans="1:21" s="36" customFormat="1" ht="14.45" customHeight="1" x14ac:dyDescent="0.4">
      <c r="A17" s="72" t="s">
        <v>123</v>
      </c>
      <c r="B17" s="39">
        <v>8.9586279390695481E-4</v>
      </c>
      <c r="C17" s="38" t="s">
        <v>8</v>
      </c>
      <c r="D17" s="38" t="s">
        <v>124</v>
      </c>
      <c r="E17" s="37"/>
      <c r="F17" s="37"/>
      <c r="G17" s="37"/>
    </row>
    <row r="18" spans="1:21" s="36" customFormat="1" ht="14.45" customHeight="1" x14ac:dyDescent="0.25">
      <c r="A18" s="37"/>
      <c r="B18" s="37"/>
      <c r="C18" s="37"/>
      <c r="D18" s="37"/>
      <c r="E18" s="37"/>
      <c r="F18" s="37"/>
      <c r="G18" s="37"/>
    </row>
    <row r="19" spans="1:21" ht="12.95" x14ac:dyDescent="0.3">
      <c r="A19" s="2" t="s">
        <v>3</v>
      </c>
    </row>
    <row r="20" spans="1:21" ht="12.95" x14ac:dyDescent="0.3">
      <c r="A20" s="2"/>
      <c r="B20" s="2" t="s">
        <v>4</v>
      </c>
      <c r="C20" s="2" t="s">
        <v>5</v>
      </c>
      <c r="D20" s="2" t="s">
        <v>6</v>
      </c>
    </row>
    <row r="21" spans="1:21" ht="12.95" x14ac:dyDescent="0.3">
      <c r="A21" s="2" t="s">
        <v>7</v>
      </c>
      <c r="B21" s="8"/>
      <c r="C21" s="2"/>
      <c r="D21" s="2"/>
    </row>
    <row r="22" spans="1:21" ht="15" x14ac:dyDescent="0.4">
      <c r="A22" s="9" t="s">
        <v>86</v>
      </c>
      <c r="B22" s="10">
        <v>0</v>
      </c>
      <c r="C22" s="4" t="s">
        <v>8</v>
      </c>
      <c r="D22" s="4" t="s">
        <v>9</v>
      </c>
      <c r="L22" s="4" t="s">
        <v>200</v>
      </c>
    </row>
    <row r="23" spans="1:21" ht="15" x14ac:dyDescent="0.4">
      <c r="A23" s="9" t="s">
        <v>87</v>
      </c>
      <c r="B23" s="10">
        <v>8.89</v>
      </c>
      <c r="C23" s="4" t="s">
        <v>8</v>
      </c>
      <c r="D23" s="4" t="s">
        <v>10</v>
      </c>
      <c r="L23" s="4" t="s">
        <v>12</v>
      </c>
      <c r="M23" s="1">
        <v>8.0000000000000002E-3</v>
      </c>
    </row>
    <row r="24" spans="1:21" ht="15" x14ac:dyDescent="0.4">
      <c r="A24" s="9" t="s">
        <v>88</v>
      </c>
      <c r="B24" s="8">
        <v>0</v>
      </c>
      <c r="C24" s="4" t="s">
        <v>8</v>
      </c>
      <c r="D24" s="4" t="s">
        <v>72</v>
      </c>
      <c r="L24" s="4" t="s">
        <v>15</v>
      </c>
      <c r="M24" s="1">
        <v>-0.16919999999999999</v>
      </c>
      <c r="O24" s="45"/>
      <c r="P24" s="45"/>
      <c r="Q24" s="35"/>
      <c r="R24" s="35"/>
      <c r="S24" s="35"/>
      <c r="T24" s="35"/>
      <c r="U24" s="35"/>
    </row>
    <row r="25" spans="1:21" ht="15" x14ac:dyDescent="0.25">
      <c r="A25" s="9" t="s">
        <v>89</v>
      </c>
      <c r="B25" s="11">
        <f>(EXP(-139.3441+157570.1/(B26+273.15)+(-66423080/(B26+273.15)^2)+(12438000000/(B26+273.15)^3)+(-862194900000/(B26+273.15)^4)))*(B27-101325*(EXP((((-216961*(1/(B26+273.15)))-3840.7)*(1/(B26+273.15))+11.8571))))/(101325-101325*(EXP((((-216961*(1/(B26+273.15)))-3840.7)*(1/(B26+273.15))+11.8571))))</f>
        <v>8.8906837598682564</v>
      </c>
      <c r="C25" s="4" t="s">
        <v>8</v>
      </c>
      <c r="D25" s="4" t="s">
        <v>198</v>
      </c>
      <c r="L25" s="4" t="s">
        <v>17</v>
      </c>
      <c r="M25" s="1">
        <v>25.385100000000001</v>
      </c>
      <c r="O25" s="4" t="s">
        <v>75</v>
      </c>
      <c r="Q25" s="35"/>
      <c r="R25" s="35"/>
      <c r="S25" s="35"/>
      <c r="T25" s="35"/>
      <c r="U25" s="35"/>
    </row>
    <row r="26" spans="1:21" ht="15.75" x14ac:dyDescent="0.3">
      <c r="A26" s="8" t="s">
        <v>90</v>
      </c>
      <c r="B26" s="10">
        <v>19.928999999999998</v>
      </c>
      <c r="C26" s="4" t="s">
        <v>13</v>
      </c>
      <c r="D26" s="4" t="s">
        <v>14</v>
      </c>
      <c r="L26" s="4" t="s">
        <v>19</v>
      </c>
      <c r="M26" s="1">
        <v>14.094099999999999</v>
      </c>
      <c r="O26" s="1">
        <f>42.914*1.25608904610271</f>
        <v>53.903805324451703</v>
      </c>
      <c r="P26" s="1" t="s">
        <v>11</v>
      </c>
    </row>
    <row r="27" spans="1:21" ht="15.95" x14ac:dyDescent="0.4">
      <c r="A27" s="8" t="s">
        <v>91</v>
      </c>
      <c r="B27" s="12">
        <v>98991</v>
      </c>
      <c r="C27" s="4" t="s">
        <v>1</v>
      </c>
      <c r="D27" s="4" t="s">
        <v>16</v>
      </c>
      <c r="L27" s="4" t="s">
        <v>21</v>
      </c>
      <c r="M27" s="1">
        <v>-7.0260999999999996</v>
      </c>
      <c r="O27" s="35" t="s">
        <v>76</v>
      </c>
      <c r="P27" s="35"/>
    </row>
    <row r="28" spans="1:21" ht="15.75" x14ac:dyDescent="0.3">
      <c r="A28" s="8" t="s">
        <v>92</v>
      </c>
      <c r="B28" s="10">
        <v>19.899999999999999</v>
      </c>
      <c r="C28" s="4" t="s">
        <v>13</v>
      </c>
      <c r="D28" s="4" t="s">
        <v>18</v>
      </c>
      <c r="L28" s="4" t="s">
        <v>22</v>
      </c>
      <c r="M28" s="1">
        <v>2.7081</v>
      </c>
      <c r="O28" s="56" t="s">
        <v>73</v>
      </c>
      <c r="P28" s="35" t="s">
        <v>56</v>
      </c>
    </row>
    <row r="29" spans="1:21" ht="15.75" x14ac:dyDescent="0.3">
      <c r="A29" s="8" t="s">
        <v>93</v>
      </c>
      <c r="B29" s="10">
        <v>99200</v>
      </c>
      <c r="C29" s="4" t="s">
        <v>1</v>
      </c>
      <c r="D29" s="4" t="s">
        <v>20</v>
      </c>
      <c r="L29" s="4" t="s">
        <v>24</v>
      </c>
      <c r="M29" s="1">
        <v>5.0000000000000001E-4</v>
      </c>
      <c r="O29" s="56" t="s">
        <v>201</v>
      </c>
      <c r="P29" s="35" t="s">
        <v>74</v>
      </c>
    </row>
    <row r="30" spans="1:21" ht="12.6" x14ac:dyDescent="0.25">
      <c r="A30" s="46"/>
      <c r="B30" s="47"/>
      <c r="C30" s="6"/>
      <c r="D30" s="48"/>
      <c r="L30" s="4" t="s">
        <v>26</v>
      </c>
      <c r="M30" s="1">
        <v>-5.5999999999999999E-3</v>
      </c>
    </row>
    <row r="31" spans="1:21" ht="12.95" x14ac:dyDescent="0.3">
      <c r="A31" s="2" t="s">
        <v>23</v>
      </c>
      <c r="B31" s="2"/>
      <c r="C31" s="2"/>
      <c r="D31" s="2"/>
      <c r="F31" s="4" t="s">
        <v>55</v>
      </c>
      <c r="L31" s="4" t="s">
        <v>29</v>
      </c>
      <c r="M31" s="1">
        <v>-6.6E-3</v>
      </c>
    </row>
    <row r="32" spans="1:21" ht="15" x14ac:dyDescent="0.4">
      <c r="A32" s="9" t="s">
        <v>94</v>
      </c>
      <c r="B32" s="13">
        <v>9.9700000000000006</v>
      </c>
      <c r="C32" s="4" t="s">
        <v>8</v>
      </c>
      <c r="D32" s="4" t="s">
        <v>25</v>
      </c>
      <c r="E32" s="2"/>
      <c r="L32" s="4" t="s">
        <v>31</v>
      </c>
      <c r="M32" s="1">
        <v>-3.7499999999999999E-2</v>
      </c>
    </row>
    <row r="33" spans="1:14" ht="12.6" x14ac:dyDescent="0.25">
      <c r="A33" s="58" t="s">
        <v>27</v>
      </c>
      <c r="B33" s="14">
        <v>0.34</v>
      </c>
      <c r="C33" s="4" t="s">
        <v>11</v>
      </c>
      <c r="D33" s="4" t="s">
        <v>28</v>
      </c>
      <c r="L33" s="4" t="s">
        <v>33</v>
      </c>
      <c r="M33" s="1">
        <v>6.3600000000000004E-2</v>
      </c>
    </row>
    <row r="34" spans="1:14" ht="12.95" x14ac:dyDescent="0.3">
      <c r="A34" s="8" t="s">
        <v>0</v>
      </c>
      <c r="B34" s="74">
        <f>M23+M24*(B33/O26)^0.5+M25*(B33/O26)+M26*(B33/O26)^1.5+M27*(B33/O26)^2+M28*(B33/O26)^2.5+((10/(1+0.0162*10))*(M29+M30*(B33/O26)^0.5+M31*(B33/O26)+M32*(B33/O26)^1.5+M33*(B33/O26)^2+M34*(B33/O26)^2.5))-(M23/(1+1.5*M35*(B33/O26)+(400*(B33/O26))^2))-(M29*(10/(1+0.0162*10))/(1+(M36*(B33/O26))^0.5+(M36*(B33/O26))^1.5))</f>
        <v>0.15885350164380205</v>
      </c>
      <c r="C34" s="4" t="s">
        <v>30</v>
      </c>
      <c r="D34" s="4" t="s">
        <v>199</v>
      </c>
      <c r="L34" s="4" t="s">
        <v>34</v>
      </c>
      <c r="M34" s="1">
        <v>-1.44E-2</v>
      </c>
    </row>
    <row r="35" spans="1:14" ht="15.75" x14ac:dyDescent="0.3">
      <c r="A35" s="8" t="s">
        <v>95</v>
      </c>
      <c r="B35" s="13">
        <v>9.1</v>
      </c>
      <c r="C35" s="4" t="s">
        <v>13</v>
      </c>
      <c r="D35" s="4" t="s">
        <v>32</v>
      </c>
      <c r="L35" s="4" t="s">
        <v>37</v>
      </c>
      <c r="M35" s="1">
        <v>400</v>
      </c>
      <c r="N35" s="4" t="s">
        <v>38</v>
      </c>
    </row>
    <row r="36" spans="1:14" ht="14.25" x14ac:dyDescent="0.25">
      <c r="A36" s="9" t="s">
        <v>96</v>
      </c>
      <c r="B36" s="13">
        <v>50</v>
      </c>
      <c r="C36" s="4" t="s">
        <v>59</v>
      </c>
      <c r="D36" s="4" t="s">
        <v>66</v>
      </c>
      <c r="L36" s="4" t="s">
        <v>39</v>
      </c>
      <c r="M36" s="1">
        <v>100</v>
      </c>
      <c r="N36" s="4" t="s">
        <v>38</v>
      </c>
    </row>
    <row r="37" spans="1:14" x14ac:dyDescent="0.2">
      <c r="A37" s="9" t="s">
        <v>35</v>
      </c>
      <c r="B37" s="13">
        <v>3</v>
      </c>
      <c r="C37" s="4"/>
      <c r="D37" s="4" t="s">
        <v>36</v>
      </c>
    </row>
    <row r="38" spans="1:14" x14ac:dyDescent="0.2">
      <c r="A38" s="9"/>
      <c r="B38" s="15"/>
      <c r="C38" s="4"/>
      <c r="D38" s="4"/>
    </row>
    <row r="39" spans="1:14" ht="13.5" thickBot="1" x14ac:dyDescent="0.25">
      <c r="A39" s="9"/>
      <c r="C39" s="4"/>
      <c r="D39" s="4"/>
    </row>
    <row r="40" spans="1:14" ht="13.5" thickBot="1" x14ac:dyDescent="0.25">
      <c r="A40" s="117" t="s">
        <v>40</v>
      </c>
      <c r="B40" s="118"/>
      <c r="C40" s="118"/>
      <c r="D40" s="118"/>
      <c r="E40" s="119"/>
      <c r="F40" s="117" t="s">
        <v>41</v>
      </c>
      <c r="G40" s="118"/>
      <c r="H40" s="118"/>
      <c r="I40" s="118"/>
      <c r="J40" s="118"/>
      <c r="K40" s="119"/>
      <c r="L40" s="49"/>
      <c r="M40" s="49"/>
      <c r="N40" s="49"/>
    </row>
    <row r="41" spans="1:14" ht="15" thickBot="1" x14ac:dyDescent="0.3">
      <c r="A41" s="17" t="s">
        <v>42</v>
      </c>
      <c r="B41" s="18" t="s">
        <v>4</v>
      </c>
      <c r="C41" s="19" t="s">
        <v>5</v>
      </c>
      <c r="D41" s="20" t="s">
        <v>43</v>
      </c>
      <c r="E41" s="21" t="s">
        <v>44</v>
      </c>
      <c r="F41" s="120" t="s">
        <v>45</v>
      </c>
      <c r="G41" s="121"/>
      <c r="H41" s="121"/>
      <c r="I41" s="120" t="s">
        <v>46</v>
      </c>
      <c r="J41" s="121"/>
      <c r="K41" s="122"/>
      <c r="L41" s="49"/>
      <c r="M41" s="49"/>
      <c r="N41" s="49"/>
    </row>
    <row r="42" spans="1:14" ht="14.25" x14ac:dyDescent="0.25">
      <c r="A42" s="9" t="s">
        <v>86</v>
      </c>
      <c r="B42" s="22">
        <f>B22</f>
        <v>0</v>
      </c>
      <c r="C42" s="23" t="s">
        <v>8</v>
      </c>
      <c r="D42" s="24">
        <f>SQRT(SUMSQ(F42,I42,L42))</f>
        <v>2.0041623354076683E-2</v>
      </c>
      <c r="E42" s="25"/>
      <c r="F42" s="4">
        <f>0.005/SQRT(3)</f>
        <v>2.886751345948129E-3</v>
      </c>
      <c r="G42" s="9" t="s">
        <v>101</v>
      </c>
      <c r="H42" s="4" t="s">
        <v>47</v>
      </c>
      <c r="I42" s="40">
        <f>B11</f>
        <v>1.9832633040858156E-2</v>
      </c>
      <c r="J42" s="9" t="s">
        <v>78</v>
      </c>
      <c r="K42" s="4" t="s">
        <v>67</v>
      </c>
      <c r="L42" s="22"/>
      <c r="M42" s="22"/>
      <c r="N42" s="22"/>
    </row>
    <row r="43" spans="1:14" ht="14.25" x14ac:dyDescent="0.25">
      <c r="A43" s="9" t="s">
        <v>87</v>
      </c>
      <c r="B43" s="22">
        <f>B23</f>
        <v>8.89</v>
      </c>
      <c r="C43" s="23" t="s">
        <v>8</v>
      </c>
      <c r="D43" s="24">
        <f t="shared" ref="D43:D50" si="0">SQRT(SUMSQ(F43,I43,L43))</f>
        <v>2.0041623354076728E-2</v>
      </c>
      <c r="E43" s="25">
        <f>D43/B43</f>
        <v>2.254400827230228E-3</v>
      </c>
      <c r="F43" s="4">
        <f>0.005/SQRT(3)</f>
        <v>2.886751345948129E-3</v>
      </c>
      <c r="G43" s="9" t="s">
        <v>102</v>
      </c>
      <c r="H43" s="4" t="s">
        <v>47</v>
      </c>
      <c r="I43" s="40">
        <f>B10</f>
        <v>1.9832633040858201E-2</v>
      </c>
      <c r="J43" s="9" t="s">
        <v>79</v>
      </c>
      <c r="K43" s="4" t="s">
        <v>67</v>
      </c>
      <c r="L43" s="22"/>
      <c r="M43" s="22"/>
      <c r="N43" s="22"/>
    </row>
    <row r="44" spans="1:14" ht="14.25" x14ac:dyDescent="0.25">
      <c r="A44" s="9" t="s">
        <v>88</v>
      </c>
      <c r="B44" s="22">
        <f>B24</f>
        <v>0</v>
      </c>
      <c r="C44" s="23" t="s">
        <v>8</v>
      </c>
      <c r="D44" s="24">
        <f t="shared" si="0"/>
        <v>5.773502691896258E-3</v>
      </c>
      <c r="E44" s="25"/>
      <c r="F44" s="1">
        <f>0.01/SQRT(3)</f>
        <v>5.773502691896258E-3</v>
      </c>
      <c r="G44" s="9" t="s">
        <v>103</v>
      </c>
      <c r="H44" s="57" t="s">
        <v>48</v>
      </c>
      <c r="I44" s="22"/>
      <c r="J44" s="22"/>
      <c r="K44" s="22"/>
      <c r="L44" s="22"/>
      <c r="M44" s="22"/>
      <c r="N44" s="22"/>
    </row>
    <row r="45" spans="1:14" ht="14.25" x14ac:dyDescent="0.25">
      <c r="A45" s="9" t="s">
        <v>89</v>
      </c>
      <c r="B45" s="26">
        <f>B25</f>
        <v>8.8906837598682564</v>
      </c>
      <c r="C45" s="23" t="s">
        <v>8</v>
      </c>
      <c r="D45" s="24">
        <f t="shared" si="0"/>
        <v>3.1E-2</v>
      </c>
      <c r="E45" s="25">
        <f>D45/B45</f>
        <v>3.4867959357559428E-3</v>
      </c>
      <c r="F45" s="22">
        <f>B13</f>
        <v>3.1E-2</v>
      </c>
      <c r="G45" s="9" t="s">
        <v>81</v>
      </c>
      <c r="H45" s="57" t="s">
        <v>202</v>
      </c>
      <c r="I45" s="22"/>
      <c r="J45" s="22"/>
      <c r="K45" s="22"/>
      <c r="L45" s="22"/>
      <c r="M45" s="22"/>
      <c r="N45" s="22"/>
    </row>
    <row r="46" spans="1:14" ht="14.25" x14ac:dyDescent="0.25">
      <c r="A46" s="9" t="s">
        <v>94</v>
      </c>
      <c r="B46" s="26">
        <f>B32</f>
        <v>9.9700000000000006</v>
      </c>
      <c r="C46" s="23" t="s">
        <v>8</v>
      </c>
      <c r="D46" s="24">
        <f>SQRT(SUMSQ(F46,I46,L46))</f>
        <v>5.1269314921055138E-2</v>
      </c>
      <c r="E46" s="25">
        <f>D46/B46</f>
        <v>5.1423585678089401E-3</v>
      </c>
      <c r="F46" s="4">
        <f>0.005/SQRT(3)</f>
        <v>2.886751345948129E-3</v>
      </c>
      <c r="G46" s="9" t="s">
        <v>104</v>
      </c>
      <c r="H46" s="4" t="s">
        <v>47</v>
      </c>
      <c r="I46" s="40">
        <f>B12</f>
        <v>5.1187980221346824E-2</v>
      </c>
      <c r="J46" s="50" t="s">
        <v>80</v>
      </c>
      <c r="K46" s="4" t="s">
        <v>109</v>
      </c>
      <c r="L46" s="4"/>
      <c r="M46" s="4"/>
      <c r="N46" s="4"/>
    </row>
    <row r="47" spans="1:14" ht="15.75" x14ac:dyDescent="0.3">
      <c r="A47" s="59" t="s">
        <v>49</v>
      </c>
      <c r="B47" s="15">
        <f>(EXP(-139.3441+157570.1/(B35+273.15)+(-66423080/(B35+273.15)^2)+(12438000000/(B35+273.15)^3)+(-862194900000/(B35+273.15)^4)))*($B$27-101325*(EXP((((-216961*(1/(B35+273.15)))-3840.7)*(1/(B35+273.15))+11.8571))))/(101325-101325*(EXP((((-216961*(1/(B35+273.15)))-3840.7)*(1/(B35+273.15))+11.8571))))/((EXP(-139.3441+157570.1/(B35+273.15)+(-66423080/(B35+273.15)^2)+(12438000000/(B35+273.15)^3)+(-862194900000/(B35+273.15)^4)))*($B$27-101325*(EXP((((-216961*(1/(B35+273.15)))-3840.7)*(1/(B35+273.15))+11.8571))))/(101325-101325*(EXP((((-216961*(1/(B35+273.15)))-3840.7)*(1/(B35+273.15))+11.8571))))*EXP(-B34*(0.017674-10.754/(B35+273.15)+2140.7/((B35+273.15)^2))))</f>
        <v>1.0010242202915443</v>
      </c>
      <c r="C47" s="23" t="s">
        <v>50</v>
      </c>
      <c r="D47" s="24">
        <f>SQRT(SUMSQ(F47,I47,L47))</f>
        <v>2.9566693051627583E-4</v>
      </c>
      <c r="E47" s="25">
        <f>D47/B47</f>
        <v>2.9536441229180654E-4</v>
      </c>
      <c r="F47" s="4">
        <f>(B47-1)*0.5/SQRT(3)</f>
        <v>2.9566693051627583E-4</v>
      </c>
      <c r="G47" s="28" t="s">
        <v>69</v>
      </c>
      <c r="H47" s="4"/>
      <c r="I47" s="4"/>
      <c r="J47" s="4"/>
      <c r="K47" s="4"/>
      <c r="L47" s="4"/>
      <c r="M47" s="4"/>
      <c r="N47" s="4"/>
    </row>
    <row r="48" spans="1:14" ht="15.75" x14ac:dyDescent="0.3">
      <c r="A48" s="9" t="s">
        <v>97</v>
      </c>
      <c r="B48" s="27">
        <v>0</v>
      </c>
      <c r="C48" s="23" t="s">
        <v>8</v>
      </c>
      <c r="D48" s="24">
        <f t="shared" si="0"/>
        <v>4.2061173025247103E-2</v>
      </c>
      <c r="E48" s="25"/>
      <c r="F48" s="4">
        <f>B14*B36*B32/100/SQRT(3)</f>
        <v>4.2061173025247103E-2</v>
      </c>
      <c r="G48" s="28" t="s">
        <v>105</v>
      </c>
      <c r="H48" s="4"/>
      <c r="I48" s="4"/>
      <c r="J48" s="4"/>
      <c r="K48" s="4"/>
      <c r="L48" s="4"/>
      <c r="M48" s="4"/>
      <c r="N48" s="4"/>
    </row>
    <row r="49" spans="1:16" ht="15.75" x14ac:dyDescent="0.3">
      <c r="A49" s="9" t="s">
        <v>98</v>
      </c>
      <c r="B49" s="27">
        <v>0</v>
      </c>
      <c r="C49" s="23" t="s">
        <v>8</v>
      </c>
      <c r="D49" s="24">
        <f t="shared" si="0"/>
        <v>4.8247262298871017E-2</v>
      </c>
      <c r="E49" s="25"/>
      <c r="F49" s="4">
        <f>(B35-B28)*B15/100*B32/SQRT(3)</f>
        <v>4.8247262298871017E-2</v>
      </c>
      <c r="G49" s="28" t="s">
        <v>106</v>
      </c>
      <c r="H49" s="4"/>
      <c r="I49" s="4"/>
      <c r="J49" s="4"/>
      <c r="K49" s="4"/>
      <c r="L49" s="4"/>
      <c r="M49" s="4"/>
      <c r="N49" s="4"/>
    </row>
    <row r="50" spans="1:16" ht="15.75" x14ac:dyDescent="0.3">
      <c r="A50" s="9" t="s">
        <v>99</v>
      </c>
      <c r="B50" s="27">
        <v>0</v>
      </c>
      <c r="C50" s="23" t="s">
        <v>8</v>
      </c>
      <c r="D50" s="24">
        <f t="shared" si="0"/>
        <v>8.067210928815377E-3</v>
      </c>
      <c r="E50" s="25"/>
      <c r="F50" s="4">
        <f>(ABS(B16)+B17)*B37/SQRT(3)</f>
        <v>8.067210928815377E-3</v>
      </c>
      <c r="G50" s="28" t="s">
        <v>127</v>
      </c>
      <c r="H50" s="4"/>
      <c r="I50" s="4"/>
      <c r="J50" s="4"/>
      <c r="K50" s="4"/>
      <c r="L50" s="4"/>
      <c r="M50" s="4"/>
      <c r="N50" s="4"/>
    </row>
    <row r="51" spans="1:16" x14ac:dyDescent="0.2">
      <c r="A51" s="9"/>
      <c r="B51" s="27"/>
      <c r="C51" s="23"/>
      <c r="D51" s="24"/>
      <c r="E51" s="25"/>
      <c r="G51" s="28"/>
    </row>
    <row r="52" spans="1:16" x14ac:dyDescent="0.2">
      <c r="A52" s="9"/>
      <c r="C52" s="23"/>
      <c r="D52" s="24"/>
      <c r="E52" s="29"/>
      <c r="G52" s="28"/>
    </row>
    <row r="53" spans="1:16" x14ac:dyDescent="0.2">
      <c r="A53" s="9"/>
      <c r="B53" s="27"/>
      <c r="C53" s="23"/>
      <c r="D53" s="24"/>
      <c r="E53" s="29"/>
      <c r="G53" s="28"/>
    </row>
    <row r="54" spans="1:16" ht="15" thickBot="1" x14ac:dyDescent="0.3">
      <c r="A54" s="17" t="s">
        <v>42</v>
      </c>
      <c r="B54" s="18" t="s">
        <v>4</v>
      </c>
      <c r="C54" s="19" t="s">
        <v>5</v>
      </c>
      <c r="D54" s="20" t="s">
        <v>43</v>
      </c>
      <c r="G54" s="9" t="s">
        <v>86</v>
      </c>
      <c r="H54" s="9" t="s">
        <v>87</v>
      </c>
      <c r="I54" s="9" t="s">
        <v>88</v>
      </c>
      <c r="J54" s="9" t="s">
        <v>89</v>
      </c>
      <c r="K54" s="9" t="s">
        <v>94</v>
      </c>
      <c r="L54" s="59" t="s">
        <v>49</v>
      </c>
      <c r="M54" s="9" t="s">
        <v>97</v>
      </c>
      <c r="N54" s="9" t="s">
        <v>98</v>
      </c>
      <c r="O54" s="9" t="s">
        <v>99</v>
      </c>
      <c r="P54" s="9"/>
    </row>
    <row r="55" spans="1:16" ht="14.25" x14ac:dyDescent="0.25">
      <c r="A55" s="9" t="s">
        <v>86</v>
      </c>
      <c r="B55" s="22">
        <f>B42</f>
        <v>0</v>
      </c>
      <c r="C55" s="23" t="s">
        <v>8</v>
      </c>
      <c r="D55" s="24">
        <f>D42</f>
        <v>2.0041623354076683E-2</v>
      </c>
      <c r="G55" s="30">
        <f>$B55+$D55</f>
        <v>2.0041623354076683E-2</v>
      </c>
      <c r="H55" s="1">
        <f t="shared" ref="H55:O55" si="1">$B55</f>
        <v>0</v>
      </c>
      <c r="I55" s="1">
        <f t="shared" si="1"/>
        <v>0</v>
      </c>
      <c r="J55" s="1">
        <f t="shared" si="1"/>
        <v>0</v>
      </c>
      <c r="K55" s="1">
        <f t="shared" si="1"/>
        <v>0</v>
      </c>
      <c r="L55" s="1">
        <f t="shared" si="1"/>
        <v>0</v>
      </c>
      <c r="M55" s="1">
        <f t="shared" si="1"/>
        <v>0</v>
      </c>
      <c r="N55" s="1">
        <f t="shared" si="1"/>
        <v>0</v>
      </c>
      <c r="O55" s="1">
        <f t="shared" si="1"/>
        <v>0</v>
      </c>
      <c r="P55" s="16"/>
    </row>
    <row r="56" spans="1:16" ht="14.25" x14ac:dyDescent="0.25">
      <c r="A56" s="9" t="s">
        <v>87</v>
      </c>
      <c r="B56" s="22">
        <f t="shared" ref="B56:B63" si="2">B43</f>
        <v>8.89</v>
      </c>
      <c r="C56" s="23" t="s">
        <v>8</v>
      </c>
      <c r="D56" s="24">
        <f t="shared" ref="D56:D63" si="3">D43</f>
        <v>2.0041623354076728E-2</v>
      </c>
      <c r="G56" s="1">
        <f t="shared" ref="G56:O63" si="4">$B56</f>
        <v>8.89</v>
      </c>
      <c r="H56" s="30">
        <f>$B56+$D56</f>
        <v>8.9100416233540773</v>
      </c>
      <c r="I56" s="1">
        <f t="shared" si="4"/>
        <v>8.89</v>
      </c>
      <c r="J56" s="1">
        <f t="shared" si="4"/>
        <v>8.89</v>
      </c>
      <c r="K56" s="1">
        <f t="shared" si="4"/>
        <v>8.89</v>
      </c>
      <c r="L56" s="1">
        <f t="shared" si="4"/>
        <v>8.89</v>
      </c>
      <c r="M56" s="1">
        <f t="shared" si="4"/>
        <v>8.89</v>
      </c>
      <c r="N56" s="1">
        <f t="shared" si="4"/>
        <v>8.89</v>
      </c>
      <c r="O56" s="1">
        <f t="shared" si="4"/>
        <v>8.89</v>
      </c>
      <c r="P56" s="16"/>
    </row>
    <row r="57" spans="1:16" ht="14.25" x14ac:dyDescent="0.25">
      <c r="A57" s="9" t="s">
        <v>88</v>
      </c>
      <c r="B57" s="22">
        <f t="shared" si="2"/>
        <v>0</v>
      </c>
      <c r="C57" s="23" t="s">
        <v>8</v>
      </c>
      <c r="D57" s="24">
        <f t="shared" si="3"/>
        <v>5.773502691896258E-3</v>
      </c>
      <c r="G57" s="1">
        <f t="shared" si="4"/>
        <v>0</v>
      </c>
      <c r="H57" s="1">
        <f t="shared" si="4"/>
        <v>0</v>
      </c>
      <c r="I57" s="30">
        <f>$B57+$D57</f>
        <v>5.773502691896258E-3</v>
      </c>
      <c r="J57" s="1">
        <f t="shared" si="4"/>
        <v>0</v>
      </c>
      <c r="K57" s="1">
        <f t="shared" si="4"/>
        <v>0</v>
      </c>
      <c r="L57" s="1">
        <f t="shared" si="4"/>
        <v>0</v>
      </c>
      <c r="M57" s="1">
        <f t="shared" si="4"/>
        <v>0</v>
      </c>
      <c r="N57" s="1">
        <f t="shared" si="4"/>
        <v>0</v>
      </c>
      <c r="O57" s="1">
        <f t="shared" si="4"/>
        <v>0</v>
      </c>
      <c r="P57" s="16"/>
    </row>
    <row r="58" spans="1:16" ht="14.25" x14ac:dyDescent="0.25">
      <c r="A58" s="9" t="s">
        <v>89</v>
      </c>
      <c r="B58" s="22">
        <f t="shared" si="2"/>
        <v>8.8906837598682564</v>
      </c>
      <c r="C58" s="23" t="s">
        <v>8</v>
      </c>
      <c r="D58" s="24">
        <f t="shared" si="3"/>
        <v>3.1E-2</v>
      </c>
      <c r="G58" s="1">
        <f t="shared" si="4"/>
        <v>8.8906837598682564</v>
      </c>
      <c r="H58" s="1">
        <f t="shared" si="4"/>
        <v>8.8906837598682564</v>
      </c>
      <c r="I58" s="1">
        <f t="shared" si="4"/>
        <v>8.8906837598682564</v>
      </c>
      <c r="J58" s="30">
        <f>$B58+$D58</f>
        <v>8.921683759868257</v>
      </c>
      <c r="K58" s="1">
        <f t="shared" si="4"/>
        <v>8.8906837598682564</v>
      </c>
      <c r="L58" s="1">
        <f t="shared" si="4"/>
        <v>8.8906837598682564</v>
      </c>
      <c r="M58" s="1">
        <f t="shared" si="4"/>
        <v>8.8906837598682564</v>
      </c>
      <c r="N58" s="1">
        <f t="shared" si="4"/>
        <v>8.8906837598682564</v>
      </c>
      <c r="O58" s="1">
        <f t="shared" si="4"/>
        <v>8.8906837598682564</v>
      </c>
      <c r="P58" s="16"/>
    </row>
    <row r="59" spans="1:16" ht="14.25" x14ac:dyDescent="0.25">
      <c r="A59" s="9" t="s">
        <v>94</v>
      </c>
      <c r="B59" s="22">
        <f t="shared" si="2"/>
        <v>9.9700000000000006</v>
      </c>
      <c r="C59" s="23" t="s">
        <v>8</v>
      </c>
      <c r="D59" s="24">
        <f t="shared" si="3"/>
        <v>5.1269314921055138E-2</v>
      </c>
      <c r="E59" s="6"/>
      <c r="G59" s="1">
        <f t="shared" si="4"/>
        <v>9.9700000000000006</v>
      </c>
      <c r="H59" s="1">
        <f t="shared" si="4"/>
        <v>9.9700000000000006</v>
      </c>
      <c r="I59" s="1">
        <f t="shared" si="4"/>
        <v>9.9700000000000006</v>
      </c>
      <c r="J59" s="1">
        <f t="shared" si="4"/>
        <v>9.9700000000000006</v>
      </c>
      <c r="K59" s="30">
        <f>$B59+$D59</f>
        <v>10.021269314921057</v>
      </c>
      <c r="L59" s="1">
        <f t="shared" si="4"/>
        <v>9.9700000000000006</v>
      </c>
      <c r="M59" s="1">
        <f t="shared" si="4"/>
        <v>9.9700000000000006</v>
      </c>
      <c r="N59" s="1">
        <f t="shared" si="4"/>
        <v>9.9700000000000006</v>
      </c>
      <c r="O59" s="1">
        <f t="shared" si="4"/>
        <v>9.9700000000000006</v>
      </c>
      <c r="P59" s="16"/>
    </row>
    <row r="60" spans="1:16" x14ac:dyDescent="0.2">
      <c r="A60" s="59" t="s">
        <v>49</v>
      </c>
      <c r="B60" s="22">
        <f t="shared" si="2"/>
        <v>1.0010242202915443</v>
      </c>
      <c r="C60" s="23" t="s">
        <v>50</v>
      </c>
      <c r="D60" s="24">
        <f t="shared" si="3"/>
        <v>2.9566693051627583E-4</v>
      </c>
      <c r="G60" s="1">
        <f t="shared" si="4"/>
        <v>1.0010242202915443</v>
      </c>
      <c r="H60" s="1">
        <f t="shared" si="4"/>
        <v>1.0010242202915443</v>
      </c>
      <c r="I60" s="1">
        <f t="shared" si="4"/>
        <v>1.0010242202915443</v>
      </c>
      <c r="J60" s="1">
        <f t="shared" si="4"/>
        <v>1.0010242202915443</v>
      </c>
      <c r="K60" s="1">
        <f t="shared" si="4"/>
        <v>1.0010242202915443</v>
      </c>
      <c r="L60" s="30">
        <f>$B60+$D60</f>
        <v>1.0013198872220606</v>
      </c>
      <c r="M60" s="1">
        <f t="shared" si="4"/>
        <v>1.0010242202915443</v>
      </c>
      <c r="N60" s="1">
        <f t="shared" si="4"/>
        <v>1.0010242202915443</v>
      </c>
      <c r="O60" s="1">
        <f t="shared" si="4"/>
        <v>1.0010242202915443</v>
      </c>
      <c r="P60" s="16"/>
    </row>
    <row r="61" spans="1:16" ht="14.25" x14ac:dyDescent="0.25">
      <c r="A61" s="9" t="s">
        <v>97</v>
      </c>
      <c r="B61" s="22">
        <f t="shared" si="2"/>
        <v>0</v>
      </c>
      <c r="C61" s="23" t="s">
        <v>8</v>
      </c>
      <c r="D61" s="24">
        <f t="shared" si="3"/>
        <v>4.2061173025247103E-2</v>
      </c>
      <c r="G61" s="1">
        <f t="shared" si="4"/>
        <v>0</v>
      </c>
      <c r="H61" s="1">
        <f t="shared" si="4"/>
        <v>0</v>
      </c>
      <c r="I61" s="1">
        <f t="shared" si="4"/>
        <v>0</v>
      </c>
      <c r="J61" s="1">
        <f t="shared" si="4"/>
        <v>0</v>
      </c>
      <c r="K61" s="1">
        <f t="shared" si="4"/>
        <v>0</v>
      </c>
      <c r="L61" s="1">
        <f t="shared" si="4"/>
        <v>0</v>
      </c>
      <c r="M61" s="30">
        <f>$B61+$D61</f>
        <v>4.2061173025247103E-2</v>
      </c>
      <c r="N61" s="1">
        <f t="shared" si="4"/>
        <v>0</v>
      </c>
      <c r="O61" s="1">
        <f t="shared" si="4"/>
        <v>0</v>
      </c>
      <c r="P61" s="16"/>
    </row>
    <row r="62" spans="1:16" ht="14.25" x14ac:dyDescent="0.25">
      <c r="A62" s="9" t="s">
        <v>98</v>
      </c>
      <c r="B62" s="22">
        <f t="shared" si="2"/>
        <v>0</v>
      </c>
      <c r="C62" s="23" t="s">
        <v>8</v>
      </c>
      <c r="D62" s="24">
        <f t="shared" si="3"/>
        <v>4.8247262298871017E-2</v>
      </c>
      <c r="G62" s="1">
        <f t="shared" si="4"/>
        <v>0</v>
      </c>
      <c r="H62" s="1">
        <f t="shared" si="4"/>
        <v>0</v>
      </c>
      <c r="I62" s="1">
        <f t="shared" si="4"/>
        <v>0</v>
      </c>
      <c r="J62" s="1">
        <f t="shared" si="4"/>
        <v>0</v>
      </c>
      <c r="K62" s="1">
        <f t="shared" si="4"/>
        <v>0</v>
      </c>
      <c r="L62" s="1">
        <f t="shared" si="4"/>
        <v>0</v>
      </c>
      <c r="M62" s="1">
        <f t="shared" si="4"/>
        <v>0</v>
      </c>
      <c r="N62" s="30">
        <f>$B62+$D62</f>
        <v>4.8247262298871017E-2</v>
      </c>
      <c r="O62" s="1">
        <f t="shared" si="4"/>
        <v>0</v>
      </c>
      <c r="P62" s="16"/>
    </row>
    <row r="63" spans="1:16" ht="14.25" x14ac:dyDescent="0.25">
      <c r="A63" s="9" t="s">
        <v>99</v>
      </c>
      <c r="B63" s="22">
        <f t="shared" si="2"/>
        <v>0</v>
      </c>
      <c r="C63" s="23" t="s">
        <v>8</v>
      </c>
      <c r="D63" s="24">
        <f t="shared" si="3"/>
        <v>8.067210928815377E-3</v>
      </c>
      <c r="G63" s="1">
        <f t="shared" si="4"/>
        <v>0</v>
      </c>
      <c r="H63" s="1">
        <f t="shared" si="4"/>
        <v>0</v>
      </c>
      <c r="I63" s="1">
        <f t="shared" si="4"/>
        <v>0</v>
      </c>
      <c r="J63" s="1">
        <f t="shared" si="4"/>
        <v>0</v>
      </c>
      <c r="K63" s="1">
        <f t="shared" si="4"/>
        <v>0</v>
      </c>
      <c r="L63" s="1">
        <f t="shared" si="4"/>
        <v>0</v>
      </c>
      <c r="M63" s="1">
        <f t="shared" si="4"/>
        <v>0</v>
      </c>
      <c r="N63" s="1">
        <f t="shared" si="4"/>
        <v>0</v>
      </c>
      <c r="O63" s="30">
        <f>$B63+$D63</f>
        <v>8.067210928815377E-3</v>
      </c>
      <c r="P63" s="16"/>
    </row>
    <row r="64" spans="1:16" x14ac:dyDescent="0.2">
      <c r="A64" s="9"/>
      <c r="B64" s="22"/>
      <c r="C64" s="23"/>
      <c r="D64" s="24"/>
      <c r="P64" s="16"/>
    </row>
    <row r="65" spans="1:16" x14ac:dyDescent="0.2">
      <c r="P65" s="16"/>
    </row>
    <row r="66" spans="1:16" ht="15.75" x14ac:dyDescent="0.3">
      <c r="A66" s="4" t="s">
        <v>51</v>
      </c>
      <c r="B66" s="31">
        <f>(B59+B61+B62+B63)/B60/((B56-B55)/(B58-B57))-((B55*B58-B57*B56)/(B58-B57))/((B56-B55)/(B58-B57))</f>
        <v>9.960565013506864</v>
      </c>
      <c r="C66" s="23" t="s">
        <v>8</v>
      </c>
      <c r="E66" s="51"/>
      <c r="F66" s="51"/>
      <c r="G66" s="31">
        <f>(G59+G61+G62+G63)/G60/((G56-G55)/(G58-G57))-((G55*G58-G57*G56)/(G58-G57))/((G56-G55)/(G58-G57))</f>
        <v>9.962982404458268</v>
      </c>
      <c r="H66" s="31">
        <f t="shared" ref="H66:O66" si="5">(H59+H61+H62+H63)/H60/((H56-H55)/(H58-H57))-((H55*H58-H57*H56)/(H58-H57))/((H56-H55)/(H58-H57))</f>
        <v>9.9381604164428889</v>
      </c>
      <c r="I66" s="31">
        <f t="shared" si="5"/>
        <v>9.9598702455379744</v>
      </c>
      <c r="J66" s="31">
        <f t="shared" si="5"/>
        <v>9.9952954711137938</v>
      </c>
      <c r="K66" s="31">
        <f t="shared" si="5"/>
        <v>10.011785810344291</v>
      </c>
      <c r="L66" s="31">
        <f t="shared" si="5"/>
        <v>9.9576238857800181</v>
      </c>
      <c r="M66" s="31">
        <f t="shared" si="5"/>
        <v>10.002586382459958</v>
      </c>
      <c r="N66" s="31">
        <f t="shared" si="5"/>
        <v>10.008766617604319</v>
      </c>
      <c r="O66" s="31">
        <f t="shared" si="5"/>
        <v>9.9686245901301493</v>
      </c>
      <c r="P66" s="16"/>
    </row>
    <row r="67" spans="1:16" ht="15.75" x14ac:dyDescent="0.3">
      <c r="A67" s="4" t="s">
        <v>52</v>
      </c>
      <c r="B67" s="32">
        <f>SQRT(O69)</f>
        <v>9.2200131557939879E-2</v>
      </c>
      <c r="C67" s="4" t="s">
        <v>8</v>
      </c>
      <c r="G67" s="1">
        <f>G66-$B$66</f>
        <v>2.4173909514040304E-3</v>
      </c>
      <c r="H67" s="1">
        <f t="shared" ref="H67:O67" si="6">H66-$B$66</f>
        <v>-2.2404597063975018E-2</v>
      </c>
      <c r="I67" s="1">
        <f t="shared" si="6"/>
        <v>-6.9476796888956471E-4</v>
      </c>
      <c r="J67" s="1">
        <f t="shared" si="6"/>
        <v>3.4730457606929832E-2</v>
      </c>
      <c r="K67" s="1">
        <f t="shared" si="6"/>
        <v>5.1220796837426974E-2</v>
      </c>
      <c r="L67" s="1">
        <f t="shared" si="6"/>
        <v>-2.9411277268458491E-3</v>
      </c>
      <c r="M67" s="1">
        <f t="shared" si="6"/>
        <v>4.202136895309394E-2</v>
      </c>
      <c r="N67" s="1">
        <f t="shared" si="6"/>
        <v>4.8201604097455331E-2</v>
      </c>
      <c r="O67" s="1">
        <f t="shared" si="6"/>
        <v>8.0595766232853805E-3</v>
      </c>
      <c r="P67" s="16"/>
    </row>
    <row r="68" spans="1:16" ht="15.75" x14ac:dyDescent="0.3">
      <c r="A68" s="33" t="s">
        <v>53</v>
      </c>
      <c r="B68" s="34">
        <f>B67*2</f>
        <v>0.18440026311587976</v>
      </c>
      <c r="C68" s="33" t="s">
        <v>54</v>
      </c>
      <c r="G68" s="1">
        <f>G67^2</f>
        <v>5.8437790119300829E-6</v>
      </c>
      <c r="H68" s="1">
        <f t="shared" ref="H68:O68" si="7">H67^2</f>
        <v>5.0196596959907805E-4</v>
      </c>
      <c r="I68" s="1">
        <f t="shared" si="7"/>
        <v>4.8270253059493119E-7</v>
      </c>
      <c r="J68" s="1">
        <f t="shared" si="7"/>
        <v>1.2062046855867501E-3</v>
      </c>
      <c r="K68" s="1">
        <f t="shared" si="7"/>
        <v>2.623570028660969E-3</v>
      </c>
      <c r="L68" s="1">
        <f t="shared" si="7"/>
        <v>8.650232305621432E-6</v>
      </c>
      <c r="M68" s="1">
        <f t="shared" si="7"/>
        <v>1.7657954486920474E-3</v>
      </c>
      <c r="N68" s="1">
        <f t="shared" si="7"/>
        <v>2.3233946375678226E-3</v>
      </c>
      <c r="O68" s="1">
        <f t="shared" si="7"/>
        <v>6.4956775346608172E-5</v>
      </c>
      <c r="P68" s="16"/>
    </row>
    <row r="69" spans="1:16" ht="15.75" x14ac:dyDescent="0.3">
      <c r="A69" s="33" t="s">
        <v>70</v>
      </c>
      <c r="B69" s="53">
        <f>B68/B66*100</f>
        <v>1.8513032429970262</v>
      </c>
      <c r="C69" s="33" t="s">
        <v>71</v>
      </c>
      <c r="O69" s="1">
        <f>SUM(G68:O68)</f>
        <v>8.5008642593014209E-3</v>
      </c>
      <c r="P69" s="16"/>
    </row>
    <row r="70" spans="1:16" ht="15" x14ac:dyDescent="0.25">
      <c r="B70" s="4"/>
      <c r="E70" s="4" t="s">
        <v>55</v>
      </c>
      <c r="G70" s="3">
        <f t="shared" ref="G70:O70" si="8">G68/$O$69</f>
        <v>6.8743351660226486E-4</v>
      </c>
      <c r="H70" s="3">
        <f t="shared" si="8"/>
        <v>5.9048816013011873E-2</v>
      </c>
      <c r="I70" s="3">
        <f t="shared" si="8"/>
        <v>5.6782759478457832E-5</v>
      </c>
      <c r="J70" s="3">
        <f t="shared" si="8"/>
        <v>0.14189200636475907</v>
      </c>
      <c r="K70" s="3">
        <f t="shared" si="8"/>
        <v>0.30862391736114692</v>
      </c>
      <c r="L70" s="3">
        <f t="shared" si="8"/>
        <v>1.0175709247629235E-3</v>
      </c>
      <c r="M70" s="3">
        <f t="shared" si="8"/>
        <v>0.20771952060756183</v>
      </c>
      <c r="N70" s="3">
        <f t="shared" si="8"/>
        <v>0.27331275582075382</v>
      </c>
      <c r="O70" s="3">
        <f t="shared" si="8"/>
        <v>7.6411966319229465E-3</v>
      </c>
      <c r="P70" s="54"/>
    </row>
    <row r="71" spans="1:16" x14ac:dyDescent="0.2">
      <c r="O71" s="52">
        <f>SUM(G70:O70)</f>
        <v>1.0000000000000002</v>
      </c>
      <c r="P71" s="16"/>
    </row>
  </sheetData>
  <mergeCells count="4">
    <mergeCell ref="A40:E40"/>
    <mergeCell ref="F40:K40"/>
    <mergeCell ref="F41:H41"/>
    <mergeCell ref="I41:K41"/>
  </mergeCells>
  <pageMargins left="0.7" right="0.7" top="0.75" bottom="0.75" header="0.3" footer="0.3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 sizeWithCells="1">
              <from>
                <xdr:col>6</xdr:col>
                <xdr:colOff>161925</xdr:colOff>
                <xdr:row>2</xdr:row>
                <xdr:rowOff>85725</xdr:rowOff>
              </from>
              <to>
                <xdr:col>9</xdr:col>
                <xdr:colOff>190500</xdr:colOff>
                <xdr:row>5</xdr:row>
                <xdr:rowOff>57150</xdr:rowOff>
              </to>
            </anchor>
          </objectPr>
        </oleObject>
      </mc:Choice>
      <mc:Fallback>
        <oleObject progId="Equation.3" shapeId="5121" r:id="rId4"/>
      </mc:Fallback>
    </mc:AlternateContent>
    <mc:AlternateContent xmlns:mc="http://schemas.openxmlformats.org/markup-compatibility/2006">
      <mc:Choice Requires="x14">
        <oleObject progId="Equation.3" shapeId="5122" r:id="rId6">
          <objectPr defaultSize="0" r:id="rId7">
            <anchor moveWithCells="1" sizeWithCells="1">
              <from>
                <xdr:col>9</xdr:col>
                <xdr:colOff>514350</xdr:colOff>
                <xdr:row>2</xdr:row>
                <xdr:rowOff>9525</xdr:rowOff>
              </from>
              <to>
                <xdr:col>12</xdr:col>
                <xdr:colOff>85725</xdr:colOff>
                <xdr:row>4</xdr:row>
                <xdr:rowOff>142875</xdr:rowOff>
              </to>
            </anchor>
          </objectPr>
        </oleObject>
      </mc:Choice>
      <mc:Fallback>
        <oleObject progId="Equation.3" shapeId="5122" r:id="rId6"/>
      </mc:Fallback>
    </mc:AlternateContent>
    <mc:AlternateContent xmlns:mc="http://schemas.openxmlformats.org/markup-compatibility/2006">
      <mc:Choice Requires="x14">
        <oleObject progId="Equation.3" shapeId="5123" r:id="rId8">
          <objectPr defaultSize="0" autoPict="0" r:id="rId9">
            <anchor moveWithCells="1" sizeWithCells="1">
              <from>
                <xdr:col>0</xdr:col>
                <xdr:colOff>533400</xdr:colOff>
                <xdr:row>2</xdr:row>
                <xdr:rowOff>57150</xdr:rowOff>
              </from>
              <to>
                <xdr:col>5</xdr:col>
                <xdr:colOff>381000</xdr:colOff>
                <xdr:row>5</xdr:row>
                <xdr:rowOff>28575</xdr:rowOff>
              </to>
            </anchor>
          </objectPr>
        </oleObject>
      </mc:Choice>
      <mc:Fallback>
        <oleObject progId="Equation.3" shapeId="5123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2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13.42578125" style="1" customWidth="1"/>
    <col min="3" max="3" width="9.140625" style="1"/>
    <col min="4" max="4" width="9.42578125" style="1" bestFit="1" customWidth="1"/>
    <col min="5" max="5" width="12.42578125" style="1" bestFit="1" customWidth="1"/>
    <col min="6" max="6" width="12.7109375" style="1" bestFit="1" customWidth="1"/>
    <col min="7" max="7" width="12.140625" style="1" bestFit="1" customWidth="1"/>
    <col min="8" max="22" width="9.140625" style="1"/>
    <col min="23" max="23" width="11.42578125" style="1" customWidth="1"/>
    <col min="24" max="16384" width="9.140625" style="1"/>
  </cols>
  <sheetData>
    <row r="1" spans="1:13" ht="12.95" x14ac:dyDescent="0.3">
      <c r="A1" s="5" t="s">
        <v>184</v>
      </c>
    </row>
    <row r="2" spans="1:13" ht="12.95" x14ac:dyDescent="0.3">
      <c r="A2" s="5" t="s">
        <v>185</v>
      </c>
    </row>
    <row r="4" spans="1:13" ht="12.6" customHeight="1" x14ac:dyDescent="0.3">
      <c r="A4" s="5"/>
    </row>
    <row r="5" spans="1:13" ht="12.6" x14ac:dyDescent="0.25">
      <c r="A5" s="6"/>
    </row>
    <row r="6" spans="1:13" ht="12.6" x14ac:dyDescent="0.25">
      <c r="A6" s="4"/>
    </row>
    <row r="8" spans="1:13" s="2" customFormat="1" ht="18" x14ac:dyDescent="0.4">
      <c r="A8" s="7" t="s">
        <v>2</v>
      </c>
    </row>
    <row r="9" spans="1:13" s="36" customFormat="1" ht="11.45" x14ac:dyDescent="0.25">
      <c r="A9" s="36" t="s">
        <v>60</v>
      </c>
    </row>
    <row r="10" spans="1:13" s="36" customFormat="1" ht="14.45" customHeight="1" x14ac:dyDescent="0.4">
      <c r="A10" s="9" t="s">
        <v>78</v>
      </c>
      <c r="B10" s="39">
        <v>3.9025485336470337E-3</v>
      </c>
      <c r="C10" s="38" t="s">
        <v>8</v>
      </c>
      <c r="D10" s="38" t="s">
        <v>57</v>
      </c>
      <c r="E10" s="42"/>
    </row>
    <row r="11" spans="1:13" s="36" customFormat="1" ht="14.45" customHeight="1" x14ac:dyDescent="0.4">
      <c r="A11" s="9" t="s">
        <v>79</v>
      </c>
      <c r="B11" s="39">
        <v>4.913036844405071E-3</v>
      </c>
      <c r="C11" s="38" t="s">
        <v>8</v>
      </c>
      <c r="D11" s="38" t="s">
        <v>61</v>
      </c>
      <c r="E11" s="42"/>
    </row>
    <row r="12" spans="1:13" s="36" customFormat="1" ht="14.45" customHeight="1" x14ac:dyDescent="0.4">
      <c r="A12" s="9" t="s">
        <v>80</v>
      </c>
      <c r="B12" s="39">
        <v>6.8643950719533137E-2</v>
      </c>
      <c r="C12" s="38" t="s">
        <v>8</v>
      </c>
      <c r="D12" s="38" t="s">
        <v>58</v>
      </c>
      <c r="E12" s="38"/>
      <c r="F12" s="37"/>
      <c r="G12" s="37"/>
      <c r="K12" s="41"/>
      <c r="L12" s="41"/>
      <c r="M12" s="41"/>
    </row>
    <row r="13" spans="1:13" s="36" customFormat="1" ht="14.45" customHeight="1" x14ac:dyDescent="0.4">
      <c r="A13" s="9" t="s">
        <v>81</v>
      </c>
      <c r="B13" s="37">
        <v>3.1E-2</v>
      </c>
      <c r="C13" s="38" t="s">
        <v>8</v>
      </c>
      <c r="D13" s="55" t="s">
        <v>203</v>
      </c>
      <c r="E13" s="38"/>
      <c r="F13" s="37"/>
      <c r="G13" s="37"/>
    </row>
    <row r="14" spans="1:13" s="36" customFormat="1" ht="14.45" customHeight="1" x14ac:dyDescent="0.4">
      <c r="A14" s="9" t="s">
        <v>82</v>
      </c>
      <c r="B14" s="43">
        <v>-9.4244609374349484E-4</v>
      </c>
      <c r="C14" s="38" t="s">
        <v>122</v>
      </c>
      <c r="D14" s="38" t="s">
        <v>62</v>
      </c>
      <c r="E14" s="38"/>
      <c r="F14" s="37"/>
      <c r="G14" s="37"/>
    </row>
    <row r="15" spans="1:13" s="36" customFormat="1" ht="14.45" customHeight="1" x14ac:dyDescent="0.25">
      <c r="A15" s="9" t="s">
        <v>83</v>
      </c>
      <c r="B15" s="44">
        <v>2.436875013221735E-2</v>
      </c>
      <c r="C15" s="38" t="s">
        <v>63</v>
      </c>
      <c r="D15" s="38" t="s">
        <v>64</v>
      </c>
      <c r="E15" s="38"/>
      <c r="F15" s="37"/>
      <c r="G15" s="37"/>
    </row>
    <row r="16" spans="1:13" s="36" customFormat="1" ht="14.45" customHeight="1" x14ac:dyDescent="0.4">
      <c r="A16" s="72" t="s">
        <v>125</v>
      </c>
      <c r="B16" s="39">
        <v>-7.8995010564227898E-3</v>
      </c>
      <c r="C16" s="38" t="s">
        <v>8</v>
      </c>
      <c r="D16" s="38" t="s">
        <v>126</v>
      </c>
      <c r="E16" s="38"/>
      <c r="F16" s="37"/>
      <c r="G16" s="37"/>
    </row>
    <row r="17" spans="1:21" s="36" customFormat="1" ht="14.45" customHeight="1" x14ac:dyDescent="0.4">
      <c r="A17" s="72" t="s">
        <v>123</v>
      </c>
      <c r="B17" s="39">
        <v>8.493146873257047E-4</v>
      </c>
      <c r="C17" s="38" t="s">
        <v>8</v>
      </c>
      <c r="D17" s="38" t="s">
        <v>124</v>
      </c>
      <c r="E17" s="38"/>
      <c r="F17" s="37"/>
      <c r="G17" s="37"/>
    </row>
    <row r="18" spans="1:21" s="36" customFormat="1" ht="14.45" customHeight="1" x14ac:dyDescent="0.4">
      <c r="A18" s="9" t="s">
        <v>85</v>
      </c>
      <c r="B18" s="39">
        <v>2.7664860087933483E-2</v>
      </c>
      <c r="C18" s="38" t="s">
        <v>50</v>
      </c>
      <c r="D18" s="38" t="s">
        <v>65</v>
      </c>
      <c r="E18" s="37"/>
      <c r="F18" s="37"/>
      <c r="G18" s="37"/>
    </row>
    <row r="19" spans="1:21" s="36" customFormat="1" ht="14.45" customHeight="1" x14ac:dyDescent="0.25">
      <c r="A19" s="37"/>
      <c r="B19" s="37"/>
      <c r="C19" s="37"/>
      <c r="D19" s="37"/>
      <c r="E19" s="37"/>
      <c r="F19" s="37"/>
      <c r="G19" s="37"/>
    </row>
    <row r="20" spans="1:21" ht="12.95" x14ac:dyDescent="0.3">
      <c r="A20" s="2" t="s">
        <v>3</v>
      </c>
    </row>
    <row r="21" spans="1:21" ht="12.95" x14ac:dyDescent="0.3">
      <c r="A21" s="2"/>
      <c r="B21" s="2" t="s">
        <v>4</v>
      </c>
      <c r="C21" s="2" t="s">
        <v>5</v>
      </c>
      <c r="D21" s="2" t="s">
        <v>6</v>
      </c>
    </row>
    <row r="22" spans="1:21" ht="12.95" x14ac:dyDescent="0.3">
      <c r="A22" s="2" t="s">
        <v>7</v>
      </c>
      <c r="B22" s="8"/>
      <c r="C22" s="2"/>
      <c r="D22" s="2"/>
    </row>
    <row r="23" spans="1:21" ht="15" x14ac:dyDescent="0.4">
      <c r="A23" s="9" t="s">
        <v>86</v>
      </c>
      <c r="B23" s="10">
        <v>0</v>
      </c>
      <c r="C23" s="4" t="s">
        <v>8</v>
      </c>
      <c r="D23" s="4" t="s">
        <v>9</v>
      </c>
    </row>
    <row r="24" spans="1:21" ht="15" x14ac:dyDescent="0.4">
      <c r="A24" s="9" t="s">
        <v>87</v>
      </c>
      <c r="B24" s="10">
        <v>8.9499999999999993</v>
      </c>
      <c r="C24" s="4" t="s">
        <v>8</v>
      </c>
      <c r="D24" s="4" t="s">
        <v>10</v>
      </c>
      <c r="L24" s="4" t="s">
        <v>200</v>
      </c>
    </row>
    <row r="25" spans="1:21" ht="15" x14ac:dyDescent="0.4">
      <c r="A25" s="9" t="s">
        <v>88</v>
      </c>
      <c r="B25" s="8">
        <v>0</v>
      </c>
      <c r="C25" s="4" t="s">
        <v>8</v>
      </c>
      <c r="D25" s="4" t="s">
        <v>72</v>
      </c>
      <c r="L25" s="4" t="s">
        <v>12</v>
      </c>
      <c r="M25" s="1">
        <v>8.0000000000000002E-3</v>
      </c>
      <c r="Q25" s="35"/>
      <c r="R25" s="35"/>
      <c r="S25" s="35"/>
      <c r="T25" s="35"/>
      <c r="U25" s="35"/>
    </row>
    <row r="26" spans="1:21" ht="15" x14ac:dyDescent="0.25">
      <c r="A26" s="9" t="s">
        <v>89</v>
      </c>
      <c r="B26" s="11">
        <f>(EXP(-139.3441+157570.1/(B27+273.15)+(-66423080/(B27+273.15)^2)+(12438000000/(B27+273.15)^3)+(-862194900000/(B27+273.15)^4)))*(B28-101325*(EXP((((-216961*(1/(B27+273.15)))-3840.7)*(1/(B27+273.15))+11.8571))))/(101325-101325*(EXP((((-216961*(1/(B27+273.15)))-3840.7)*(1/(B27+273.15))+11.8571))))</f>
        <v>8.8906837598682564</v>
      </c>
      <c r="C26" s="4" t="s">
        <v>8</v>
      </c>
      <c r="D26" s="4" t="s">
        <v>198</v>
      </c>
      <c r="L26" s="4" t="s">
        <v>15</v>
      </c>
      <c r="M26" s="1">
        <v>-0.16919999999999999</v>
      </c>
      <c r="O26" s="4" t="s">
        <v>75</v>
      </c>
      <c r="Q26" s="35"/>
      <c r="R26" s="35"/>
      <c r="S26" s="35"/>
      <c r="T26" s="35"/>
      <c r="U26" s="35"/>
    </row>
    <row r="27" spans="1:21" ht="15.75" x14ac:dyDescent="0.3">
      <c r="A27" s="8" t="s">
        <v>90</v>
      </c>
      <c r="B27" s="10">
        <v>19.928999999999998</v>
      </c>
      <c r="C27" s="4" t="s">
        <v>13</v>
      </c>
      <c r="D27" s="4" t="s">
        <v>14</v>
      </c>
      <c r="L27" s="4" t="s">
        <v>17</v>
      </c>
      <c r="M27" s="1">
        <v>25.385100000000001</v>
      </c>
      <c r="O27" s="1">
        <f>42.914*1.25608904610271</f>
        <v>53.903805324451703</v>
      </c>
      <c r="P27" s="1" t="s">
        <v>11</v>
      </c>
    </row>
    <row r="28" spans="1:21" ht="15.95" x14ac:dyDescent="0.4">
      <c r="A28" s="8" t="s">
        <v>91</v>
      </c>
      <c r="B28" s="12">
        <v>98991</v>
      </c>
      <c r="C28" s="4" t="s">
        <v>1</v>
      </c>
      <c r="D28" s="4" t="s">
        <v>16</v>
      </c>
      <c r="L28" s="4" t="s">
        <v>19</v>
      </c>
      <c r="M28" s="1">
        <v>14.094099999999999</v>
      </c>
      <c r="O28" s="35" t="s">
        <v>76</v>
      </c>
      <c r="P28" s="35"/>
    </row>
    <row r="29" spans="1:21" ht="15.75" x14ac:dyDescent="0.3">
      <c r="A29" s="8" t="s">
        <v>92</v>
      </c>
      <c r="B29" s="10">
        <v>20.100000000000001</v>
      </c>
      <c r="C29" s="4" t="s">
        <v>13</v>
      </c>
      <c r="D29" s="4" t="s">
        <v>18</v>
      </c>
      <c r="L29" s="4" t="s">
        <v>21</v>
      </c>
      <c r="M29" s="1">
        <v>-7.0260999999999996</v>
      </c>
      <c r="O29" s="56" t="s">
        <v>73</v>
      </c>
      <c r="P29" s="35" t="s">
        <v>56</v>
      </c>
    </row>
    <row r="30" spans="1:21" ht="15.75" x14ac:dyDescent="0.3">
      <c r="A30" s="8" t="s">
        <v>93</v>
      </c>
      <c r="B30" s="10">
        <v>100100</v>
      </c>
      <c r="C30" s="4" t="s">
        <v>1</v>
      </c>
      <c r="D30" s="4" t="s">
        <v>20</v>
      </c>
      <c r="L30" s="4" t="s">
        <v>22</v>
      </c>
      <c r="M30" s="1">
        <v>2.7081</v>
      </c>
      <c r="O30" s="56" t="s">
        <v>201</v>
      </c>
      <c r="P30" s="35" t="s">
        <v>74</v>
      </c>
    </row>
    <row r="31" spans="1:21" ht="12.6" x14ac:dyDescent="0.25">
      <c r="A31" s="46"/>
      <c r="B31" s="47"/>
      <c r="C31" s="6"/>
      <c r="D31" s="48"/>
      <c r="L31" s="4" t="s">
        <v>24</v>
      </c>
      <c r="M31" s="1">
        <v>5.0000000000000001E-4</v>
      </c>
    </row>
    <row r="32" spans="1:21" ht="12.95" x14ac:dyDescent="0.3">
      <c r="A32" s="2" t="s">
        <v>23</v>
      </c>
      <c r="B32" s="2"/>
      <c r="C32" s="2"/>
      <c r="D32" s="2"/>
      <c r="F32" s="4" t="s">
        <v>55</v>
      </c>
      <c r="L32" s="4" t="s">
        <v>26</v>
      </c>
      <c r="M32" s="1">
        <v>-5.5999999999999999E-3</v>
      </c>
    </row>
    <row r="33" spans="1:14" ht="15" x14ac:dyDescent="0.4">
      <c r="A33" s="9" t="s">
        <v>94</v>
      </c>
      <c r="B33" s="13">
        <v>10.94</v>
      </c>
      <c r="C33" s="4" t="s">
        <v>8</v>
      </c>
      <c r="D33" s="4" t="s">
        <v>25</v>
      </c>
      <c r="E33" s="2"/>
      <c r="L33" s="4" t="s">
        <v>29</v>
      </c>
      <c r="M33" s="1">
        <v>-6.6E-3</v>
      </c>
    </row>
    <row r="34" spans="1:14" ht="12.6" x14ac:dyDescent="0.25">
      <c r="A34" s="58" t="s">
        <v>27</v>
      </c>
      <c r="B34" s="14">
        <v>0.57799999999999996</v>
      </c>
      <c r="C34" s="4" t="s">
        <v>11</v>
      </c>
      <c r="D34" s="4" t="s">
        <v>28</v>
      </c>
      <c r="L34" s="4" t="s">
        <v>31</v>
      </c>
      <c r="M34" s="1">
        <v>-3.7499999999999999E-2</v>
      </c>
    </row>
    <row r="35" spans="1:14" ht="12.95" x14ac:dyDescent="0.3">
      <c r="A35" s="8" t="s">
        <v>0</v>
      </c>
      <c r="B35" s="74">
        <f>M25+M26*(B34/O27)^0.5+M27*(B34/O27)+M28*(B34/O27)^1.5+M29*(B34/O27)^2+M30*(B34/O27)^2.5+((10/(1+0.0162*10))*(M31+M32*(B34/O27)^0.5+M33*(B34/O27)+M34*(B34/O27)^1.5+M35*(B34/O27)^2+M36*(B34/O27)^2.5))-(M25/(1+1.5*M37*(B34/O27)+(400*(B34/O27))^2))-(M31*(10/(1+0.0162*10))/(1+(M38*(B34/O27))^0.5+(M38*(B34/O27))^1.5))</f>
        <v>0.27428161078969704</v>
      </c>
      <c r="C35" s="4" t="s">
        <v>30</v>
      </c>
      <c r="D35" s="4" t="s">
        <v>199</v>
      </c>
      <c r="L35" s="4" t="s">
        <v>33</v>
      </c>
      <c r="M35" s="1">
        <v>6.3600000000000004E-2</v>
      </c>
    </row>
    <row r="36" spans="1:14" ht="15.75" x14ac:dyDescent="0.3">
      <c r="A36" s="8" t="s">
        <v>95</v>
      </c>
      <c r="B36" s="13">
        <v>16</v>
      </c>
      <c r="C36" s="4" t="s">
        <v>13</v>
      </c>
      <c r="D36" s="4" t="s">
        <v>32</v>
      </c>
      <c r="L36" s="4" t="s">
        <v>34</v>
      </c>
      <c r="M36" s="1">
        <v>-1.44E-2</v>
      </c>
    </row>
    <row r="37" spans="1:14" ht="14.25" x14ac:dyDescent="0.25">
      <c r="A37" s="9" t="s">
        <v>96</v>
      </c>
      <c r="B37" s="13">
        <v>50</v>
      </c>
      <c r="C37" s="4" t="s">
        <v>59</v>
      </c>
      <c r="D37" s="4" t="s">
        <v>66</v>
      </c>
      <c r="L37" s="4" t="s">
        <v>37</v>
      </c>
      <c r="M37" s="1">
        <v>400</v>
      </c>
      <c r="N37" s="4" t="s">
        <v>38</v>
      </c>
    </row>
    <row r="38" spans="1:14" x14ac:dyDescent="0.2">
      <c r="A38" s="9" t="s">
        <v>35</v>
      </c>
      <c r="B38" s="13">
        <v>24</v>
      </c>
      <c r="C38" s="4"/>
      <c r="D38" s="4" t="s">
        <v>36</v>
      </c>
      <c r="L38" s="4" t="s">
        <v>39</v>
      </c>
      <c r="M38" s="1">
        <v>100</v>
      </c>
      <c r="N38" s="4" t="s">
        <v>38</v>
      </c>
    </row>
    <row r="39" spans="1:14" x14ac:dyDescent="0.2">
      <c r="A39" s="9"/>
      <c r="B39" s="15"/>
      <c r="C39" s="4"/>
      <c r="D39" s="4"/>
    </row>
    <row r="40" spans="1:14" ht="13.5" thickBot="1" x14ac:dyDescent="0.25">
      <c r="A40" s="9"/>
      <c r="C40" s="4"/>
      <c r="D40" s="4"/>
    </row>
    <row r="41" spans="1:14" ht="13.5" thickBot="1" x14ac:dyDescent="0.25">
      <c r="A41" s="117" t="s">
        <v>40</v>
      </c>
      <c r="B41" s="118"/>
      <c r="C41" s="118"/>
      <c r="D41" s="118"/>
      <c r="E41" s="119"/>
      <c r="F41" s="117" t="s">
        <v>41</v>
      </c>
      <c r="G41" s="118"/>
      <c r="H41" s="118"/>
      <c r="I41" s="118"/>
      <c r="J41" s="118"/>
      <c r="K41" s="119"/>
      <c r="L41" s="49"/>
      <c r="M41" s="49"/>
      <c r="N41" s="49"/>
    </row>
    <row r="42" spans="1:14" ht="15" thickBot="1" x14ac:dyDescent="0.3">
      <c r="A42" s="17" t="s">
        <v>42</v>
      </c>
      <c r="B42" s="18" t="s">
        <v>4</v>
      </c>
      <c r="C42" s="19" t="s">
        <v>5</v>
      </c>
      <c r="D42" s="20" t="s">
        <v>43</v>
      </c>
      <c r="E42" s="21" t="s">
        <v>44</v>
      </c>
      <c r="F42" s="120" t="s">
        <v>45</v>
      </c>
      <c r="G42" s="121"/>
      <c r="H42" s="121"/>
      <c r="I42" s="120" t="s">
        <v>46</v>
      </c>
      <c r="J42" s="121"/>
      <c r="K42" s="122"/>
      <c r="L42" s="49"/>
      <c r="M42" s="49"/>
      <c r="N42" s="49"/>
    </row>
    <row r="43" spans="1:14" ht="14.25" x14ac:dyDescent="0.25">
      <c r="A43" s="9" t="s">
        <v>86</v>
      </c>
      <c r="B43" s="22">
        <f>B23</f>
        <v>0</v>
      </c>
      <c r="C43" s="23" t="s">
        <v>8</v>
      </c>
      <c r="D43" s="24">
        <f>SQRT(SUMSQ(F43,I43))</f>
        <v>5.6983562864930679E-3</v>
      </c>
      <c r="E43" s="25"/>
      <c r="F43" s="4">
        <f>0.005/SQRT(3)</f>
        <v>2.886751345948129E-3</v>
      </c>
      <c r="G43" s="9" t="s">
        <v>101</v>
      </c>
      <c r="H43" s="4" t="s">
        <v>47</v>
      </c>
      <c r="I43" s="40">
        <f>B11</f>
        <v>4.913036844405071E-3</v>
      </c>
      <c r="J43" s="9" t="s">
        <v>78</v>
      </c>
      <c r="K43" s="4" t="s">
        <v>67</v>
      </c>
      <c r="L43" s="22"/>
      <c r="M43" s="22"/>
      <c r="N43" s="22"/>
    </row>
    <row r="44" spans="1:14" ht="14.25" x14ac:dyDescent="0.25">
      <c r="A44" s="9" t="s">
        <v>87</v>
      </c>
      <c r="B44" s="22">
        <f>B24</f>
        <v>8.9499999999999993</v>
      </c>
      <c r="C44" s="23" t="s">
        <v>8</v>
      </c>
      <c r="D44" s="24">
        <f t="shared" ref="D44" si="0">SQRT(SUMSQ(F44,I44))</f>
        <v>4.8541959571904332E-3</v>
      </c>
      <c r="E44" s="25">
        <f>D44/B44</f>
        <v>5.4236826337323283E-4</v>
      </c>
      <c r="F44" s="4">
        <f>0.005/SQRT(3)</f>
        <v>2.886751345948129E-3</v>
      </c>
      <c r="G44" s="9" t="s">
        <v>102</v>
      </c>
      <c r="H44" s="4" t="s">
        <v>47</v>
      </c>
      <c r="I44" s="40">
        <f>B10</f>
        <v>3.9025485336470337E-3</v>
      </c>
      <c r="J44" s="9" t="s">
        <v>79</v>
      </c>
      <c r="K44" s="4" t="s">
        <v>67</v>
      </c>
      <c r="L44" s="22"/>
      <c r="M44" s="22"/>
      <c r="N44" s="22"/>
    </row>
    <row r="45" spans="1:14" ht="14.25" x14ac:dyDescent="0.25">
      <c r="A45" s="9" t="s">
        <v>88</v>
      </c>
      <c r="B45" s="22">
        <f>B25</f>
        <v>0</v>
      </c>
      <c r="C45" s="23" t="s">
        <v>8</v>
      </c>
      <c r="D45" s="24">
        <f>SQRT(SUMSQ(F45))</f>
        <v>5.773502691896258E-3</v>
      </c>
      <c r="E45" s="25"/>
      <c r="F45" s="1">
        <f>0.01/SQRT(3)</f>
        <v>5.773502691896258E-3</v>
      </c>
      <c r="G45" s="9" t="s">
        <v>103</v>
      </c>
      <c r="H45" s="22" t="s">
        <v>48</v>
      </c>
      <c r="I45" s="22"/>
      <c r="J45" s="22"/>
      <c r="K45" s="22"/>
      <c r="L45" s="22"/>
      <c r="M45" s="22"/>
      <c r="N45" s="22"/>
    </row>
    <row r="46" spans="1:14" ht="14.25" x14ac:dyDescent="0.25">
      <c r="A46" s="9" t="s">
        <v>89</v>
      </c>
      <c r="B46" s="26">
        <f>B26</f>
        <v>8.8906837598682564</v>
      </c>
      <c r="C46" s="23" t="s">
        <v>8</v>
      </c>
      <c r="D46" s="24">
        <f>SQRT(SUMSQ(F46))</f>
        <v>3.1E-2</v>
      </c>
      <c r="E46" s="25">
        <f>D46/B46</f>
        <v>3.4867959357559428E-3</v>
      </c>
      <c r="F46" s="22">
        <f>B13</f>
        <v>3.1E-2</v>
      </c>
      <c r="G46" s="9" t="s">
        <v>81</v>
      </c>
      <c r="H46" s="57" t="s">
        <v>202</v>
      </c>
      <c r="I46" s="22"/>
      <c r="J46" s="22"/>
      <c r="K46" s="22"/>
      <c r="L46" s="22"/>
      <c r="M46" s="22"/>
      <c r="N46" s="22"/>
    </row>
    <row r="47" spans="1:14" ht="14.25" x14ac:dyDescent="0.25">
      <c r="A47" s="9" t="s">
        <v>94</v>
      </c>
      <c r="B47" s="26">
        <f>B33</f>
        <v>10.94</v>
      </c>
      <c r="C47" s="23" t="s">
        <v>8</v>
      </c>
      <c r="D47" s="24">
        <f>SQRT(SUMSQ(F47,I47))</f>
        <v>6.8704623597826572E-2</v>
      </c>
      <c r="E47" s="25">
        <f>D47/B47</f>
        <v>6.2801301277720821E-3</v>
      </c>
      <c r="F47" s="4">
        <f>0.005/SQRT(3)</f>
        <v>2.886751345948129E-3</v>
      </c>
      <c r="G47" s="9" t="s">
        <v>104</v>
      </c>
      <c r="H47" s="4" t="s">
        <v>47</v>
      </c>
      <c r="I47" s="40">
        <f>B12</f>
        <v>6.8643950719533137E-2</v>
      </c>
      <c r="J47" s="50" t="s">
        <v>80</v>
      </c>
      <c r="K47" s="4" t="s">
        <v>68</v>
      </c>
      <c r="L47" s="4"/>
      <c r="M47" s="4"/>
      <c r="N47" s="4"/>
    </row>
    <row r="48" spans="1:14" ht="15.75" x14ac:dyDescent="0.3">
      <c r="A48" s="59" t="s">
        <v>49</v>
      </c>
      <c r="B48" s="15">
        <f>(EXP(-139.3441+157570.1/(B36+273.15)+(-66423080/(B36+273.15)^2)+(12438000000/(B36+273.15)^3)+(-862194900000/(B36+273.15)^4)))*($B$28-101325*(EXP((((-216961*(1/(B36+273.15)))-3840.7)*(1/(B36+273.15))+11.8571))))/(101325-101325*(EXP((((-216961*(1/(B36+273.15)))-3840.7)*(1/(B36+273.15))+11.8571))))/((EXP(-139.3441+157570.1/(B36+273.15)+(-66423080/(B36+273.15)^2)+(12438000000/(B36+273.15)^3)+(-862194900000/(B36+273.15)^4)))*($B$28-101325*(EXP((((-216961*(1/(B36+273.15)))-3840.7)*(1/(B36+273.15))+11.8571))))/(101325-101325*(EXP((((-216961*(1/(B36+273.15)))-3840.7)*(1/(B36+273.15))+11.8571))))*EXP(-B35*(0.017674-10.754/(B36+273.15)+2140.7/((B36+273.15)^2))))</f>
        <v>1.0016707612455926</v>
      </c>
      <c r="C48" s="23" t="s">
        <v>50</v>
      </c>
      <c r="D48" s="24">
        <f>SQRT(SUMSQ(F48))</f>
        <v>4.8230722744724752E-4</v>
      </c>
      <c r="E48" s="25">
        <f>D48/B48</f>
        <v>4.8150275131071137E-4</v>
      </c>
      <c r="F48" s="4">
        <f>(B48-1)*0.5/SQRT(3)</f>
        <v>4.8230722744724752E-4</v>
      </c>
      <c r="G48" s="28" t="s">
        <v>69</v>
      </c>
      <c r="H48" s="4"/>
      <c r="I48" s="4"/>
      <c r="J48" s="4"/>
      <c r="K48" s="4"/>
      <c r="L48" s="4"/>
      <c r="M48" s="4"/>
      <c r="N48" s="4"/>
    </row>
    <row r="49" spans="1:16" ht="15.75" x14ac:dyDescent="0.3">
      <c r="A49" s="9" t="s">
        <v>97</v>
      </c>
      <c r="B49" s="27">
        <v>0</v>
      </c>
      <c r="C49" s="23" t="s">
        <v>8</v>
      </c>
      <c r="D49" s="24">
        <f t="shared" ref="D49:D52" si="1">SQRT(SUMSQ(F49))</f>
        <v>2.9763446373797637E-3</v>
      </c>
      <c r="E49" s="25"/>
      <c r="F49" s="4">
        <f>ABS(B14)*B37*B33/100/SQRT(3)</f>
        <v>2.9763446373797637E-3</v>
      </c>
      <c r="G49" s="28" t="s">
        <v>105</v>
      </c>
      <c r="H49" s="4"/>
      <c r="I49" s="4"/>
      <c r="J49" s="4"/>
      <c r="K49" s="4"/>
      <c r="L49" s="4"/>
      <c r="M49" s="4"/>
      <c r="N49" s="4"/>
    </row>
    <row r="50" spans="1:16" ht="15.75" x14ac:dyDescent="0.3">
      <c r="A50" s="9" t="s">
        <v>98</v>
      </c>
      <c r="B50" s="27">
        <v>0</v>
      </c>
      <c r="C50" s="23" t="s">
        <v>8</v>
      </c>
      <c r="D50" s="24">
        <f t="shared" si="1"/>
        <v>6.310645817397661E-3</v>
      </c>
      <c r="E50" s="25"/>
      <c r="F50" s="4">
        <f>ABS(B36-B29)*B15/100*B33/SQRT(3)</f>
        <v>6.310645817397661E-3</v>
      </c>
      <c r="G50" s="28" t="s">
        <v>106</v>
      </c>
      <c r="H50" s="4"/>
      <c r="I50" s="4"/>
      <c r="J50" s="4"/>
      <c r="K50" s="4"/>
      <c r="L50" s="4"/>
      <c r="M50" s="4"/>
      <c r="N50" s="4"/>
    </row>
    <row r="51" spans="1:16" ht="15.75" x14ac:dyDescent="0.3">
      <c r="A51" s="9" t="s">
        <v>99</v>
      </c>
      <c r="B51" s="27">
        <v>0</v>
      </c>
      <c r="C51" s="23" t="s">
        <v>8</v>
      </c>
      <c r="D51" s="24">
        <f t="shared" si="1"/>
        <v>0.12122714699384712</v>
      </c>
      <c r="E51" s="25"/>
      <c r="F51" s="4">
        <f>(ABS(B16)+B17)*B38/SQRT(3)</f>
        <v>0.12122714699384712</v>
      </c>
      <c r="G51" s="28" t="s">
        <v>127</v>
      </c>
      <c r="H51" s="4"/>
      <c r="I51" s="4"/>
      <c r="J51" s="4"/>
      <c r="K51" s="4"/>
      <c r="L51" s="4"/>
      <c r="M51" s="4"/>
      <c r="N51" s="4"/>
    </row>
    <row r="52" spans="1:16" ht="15.75" x14ac:dyDescent="0.3">
      <c r="A52" s="9" t="s">
        <v>100</v>
      </c>
      <c r="B52" s="27">
        <v>0</v>
      </c>
      <c r="C52" s="23" t="s">
        <v>8</v>
      </c>
      <c r="D52" s="24">
        <f t="shared" si="1"/>
        <v>0</v>
      </c>
      <c r="E52" s="25"/>
      <c r="F52" s="1">
        <f>IF(B33&lt;11,(0),((B33-11)*B18))/SQRT(3)</f>
        <v>0</v>
      </c>
      <c r="G52" s="28" t="s">
        <v>108</v>
      </c>
    </row>
    <row r="53" spans="1:16" x14ac:dyDescent="0.2">
      <c r="A53" s="9"/>
      <c r="C53" s="23"/>
      <c r="D53" s="24"/>
      <c r="E53" s="29"/>
      <c r="G53" s="28"/>
    </row>
    <row r="54" spans="1:16" x14ac:dyDescent="0.2">
      <c r="A54" s="9"/>
      <c r="B54" s="27"/>
      <c r="C54" s="23"/>
      <c r="D54" s="24"/>
      <c r="E54" s="29"/>
      <c r="G54" s="28"/>
    </row>
    <row r="55" spans="1:16" ht="15" thickBot="1" x14ac:dyDescent="0.3">
      <c r="A55" s="17" t="s">
        <v>42</v>
      </c>
      <c r="B55" s="18" t="s">
        <v>4</v>
      </c>
      <c r="C55" s="19" t="s">
        <v>5</v>
      </c>
      <c r="D55" s="20" t="s">
        <v>43</v>
      </c>
      <c r="G55" s="9" t="s">
        <v>86</v>
      </c>
      <c r="H55" s="9" t="s">
        <v>87</v>
      </c>
      <c r="I55" s="9" t="s">
        <v>88</v>
      </c>
      <c r="J55" s="9" t="s">
        <v>89</v>
      </c>
      <c r="K55" s="9" t="s">
        <v>94</v>
      </c>
      <c r="L55" s="59" t="s">
        <v>49</v>
      </c>
      <c r="M55" s="9" t="s">
        <v>97</v>
      </c>
      <c r="N55" s="9" t="s">
        <v>98</v>
      </c>
      <c r="O55" s="9" t="s">
        <v>99</v>
      </c>
      <c r="P55" s="9" t="s">
        <v>100</v>
      </c>
    </row>
    <row r="56" spans="1:16" ht="14.25" x14ac:dyDescent="0.25">
      <c r="A56" s="9" t="s">
        <v>86</v>
      </c>
      <c r="B56" s="22">
        <f>B43</f>
        <v>0</v>
      </c>
      <c r="C56" s="23" t="s">
        <v>8</v>
      </c>
      <c r="D56" s="24">
        <f>D43</f>
        <v>5.6983562864930679E-3</v>
      </c>
      <c r="G56" s="30">
        <f>$B56+$D56</f>
        <v>5.6983562864930679E-3</v>
      </c>
      <c r="H56" s="1">
        <f t="shared" ref="H56:P56" si="2">$B56</f>
        <v>0</v>
      </c>
      <c r="I56" s="1">
        <f t="shared" si="2"/>
        <v>0</v>
      </c>
      <c r="J56" s="1">
        <f t="shared" si="2"/>
        <v>0</v>
      </c>
      <c r="K56" s="1">
        <f t="shared" si="2"/>
        <v>0</v>
      </c>
      <c r="L56" s="1">
        <f t="shared" si="2"/>
        <v>0</v>
      </c>
      <c r="M56" s="1">
        <f t="shared" si="2"/>
        <v>0</v>
      </c>
      <c r="N56" s="1">
        <f t="shared" si="2"/>
        <v>0</v>
      </c>
      <c r="O56" s="1">
        <f t="shared" si="2"/>
        <v>0</v>
      </c>
      <c r="P56" s="1">
        <f t="shared" si="2"/>
        <v>0</v>
      </c>
    </row>
    <row r="57" spans="1:16" ht="14.25" x14ac:dyDescent="0.25">
      <c r="A57" s="9" t="s">
        <v>87</v>
      </c>
      <c r="B57" s="22">
        <f t="shared" ref="B57:B65" si="3">B44</f>
        <v>8.9499999999999993</v>
      </c>
      <c r="C57" s="23" t="s">
        <v>8</v>
      </c>
      <c r="D57" s="24">
        <f t="shared" ref="D57:D65" si="4">D44</f>
        <v>4.8541959571904332E-3</v>
      </c>
      <c r="G57" s="1">
        <f t="shared" ref="G57:P65" si="5">$B57</f>
        <v>8.9499999999999993</v>
      </c>
      <c r="H57" s="30">
        <f>$B57+$D57</f>
        <v>8.9548541959571892</v>
      </c>
      <c r="I57" s="1">
        <f t="shared" si="5"/>
        <v>8.9499999999999993</v>
      </c>
      <c r="J57" s="1">
        <f t="shared" si="5"/>
        <v>8.9499999999999993</v>
      </c>
      <c r="K57" s="1">
        <f t="shared" si="5"/>
        <v>8.9499999999999993</v>
      </c>
      <c r="L57" s="1">
        <f t="shared" si="5"/>
        <v>8.9499999999999993</v>
      </c>
      <c r="M57" s="1">
        <f t="shared" si="5"/>
        <v>8.9499999999999993</v>
      </c>
      <c r="N57" s="1">
        <f t="shared" si="5"/>
        <v>8.9499999999999993</v>
      </c>
      <c r="O57" s="1">
        <f t="shared" si="5"/>
        <v>8.9499999999999993</v>
      </c>
      <c r="P57" s="1">
        <f t="shared" si="5"/>
        <v>8.9499999999999993</v>
      </c>
    </row>
    <row r="58" spans="1:16" ht="14.25" x14ac:dyDescent="0.25">
      <c r="A58" s="9" t="s">
        <v>88</v>
      </c>
      <c r="B58" s="22">
        <f t="shared" si="3"/>
        <v>0</v>
      </c>
      <c r="C58" s="23" t="s">
        <v>8</v>
      </c>
      <c r="D58" s="24">
        <f t="shared" si="4"/>
        <v>5.773502691896258E-3</v>
      </c>
      <c r="G58" s="1">
        <f t="shared" si="5"/>
        <v>0</v>
      </c>
      <c r="H58" s="1">
        <f t="shared" si="5"/>
        <v>0</v>
      </c>
      <c r="I58" s="30">
        <f>$B58+$D58</f>
        <v>5.773502691896258E-3</v>
      </c>
      <c r="J58" s="1">
        <f t="shared" si="5"/>
        <v>0</v>
      </c>
      <c r="K58" s="1">
        <f t="shared" si="5"/>
        <v>0</v>
      </c>
      <c r="L58" s="1">
        <f t="shared" si="5"/>
        <v>0</v>
      </c>
      <c r="M58" s="1">
        <f t="shared" si="5"/>
        <v>0</v>
      </c>
      <c r="N58" s="1">
        <f t="shared" si="5"/>
        <v>0</v>
      </c>
      <c r="O58" s="1">
        <f t="shared" si="5"/>
        <v>0</v>
      </c>
      <c r="P58" s="1">
        <f t="shared" si="5"/>
        <v>0</v>
      </c>
    </row>
    <row r="59" spans="1:16" ht="14.25" x14ac:dyDescent="0.25">
      <c r="A59" s="9" t="s">
        <v>89</v>
      </c>
      <c r="B59" s="22">
        <f t="shared" si="3"/>
        <v>8.8906837598682564</v>
      </c>
      <c r="C59" s="23" t="s">
        <v>8</v>
      </c>
      <c r="D59" s="24">
        <f t="shared" si="4"/>
        <v>3.1E-2</v>
      </c>
      <c r="G59" s="1">
        <f t="shared" si="5"/>
        <v>8.8906837598682564</v>
      </c>
      <c r="H59" s="1">
        <f t="shared" si="5"/>
        <v>8.8906837598682564</v>
      </c>
      <c r="I59" s="1">
        <f t="shared" si="5"/>
        <v>8.8906837598682564</v>
      </c>
      <c r="J59" s="30">
        <f>$B59+$D59</f>
        <v>8.921683759868257</v>
      </c>
      <c r="K59" s="1">
        <f t="shared" si="5"/>
        <v>8.8906837598682564</v>
      </c>
      <c r="L59" s="1">
        <f t="shared" si="5"/>
        <v>8.8906837598682564</v>
      </c>
      <c r="M59" s="1">
        <f t="shared" si="5"/>
        <v>8.8906837598682564</v>
      </c>
      <c r="N59" s="1">
        <f t="shared" si="5"/>
        <v>8.8906837598682564</v>
      </c>
      <c r="O59" s="1">
        <f t="shared" si="5"/>
        <v>8.8906837598682564</v>
      </c>
      <c r="P59" s="1">
        <f t="shared" si="5"/>
        <v>8.8906837598682564</v>
      </c>
    </row>
    <row r="60" spans="1:16" ht="14.25" x14ac:dyDescent="0.25">
      <c r="A60" s="9" t="s">
        <v>94</v>
      </c>
      <c r="B60" s="22">
        <f t="shared" si="3"/>
        <v>10.94</v>
      </c>
      <c r="C60" s="23" t="s">
        <v>8</v>
      </c>
      <c r="D60" s="24">
        <f t="shared" si="4"/>
        <v>6.8704623597826572E-2</v>
      </c>
      <c r="E60" s="6"/>
      <c r="G60" s="1">
        <f t="shared" si="5"/>
        <v>10.94</v>
      </c>
      <c r="H60" s="1">
        <f t="shared" si="5"/>
        <v>10.94</v>
      </c>
      <c r="I60" s="1">
        <f t="shared" si="5"/>
        <v>10.94</v>
      </c>
      <c r="J60" s="1">
        <f t="shared" si="5"/>
        <v>10.94</v>
      </c>
      <c r="K60" s="30">
        <f>$B60+$D60</f>
        <v>11.008704623597826</v>
      </c>
      <c r="L60" s="1">
        <f t="shared" si="5"/>
        <v>10.94</v>
      </c>
      <c r="M60" s="1">
        <f t="shared" si="5"/>
        <v>10.94</v>
      </c>
      <c r="N60" s="1">
        <f t="shared" si="5"/>
        <v>10.94</v>
      </c>
      <c r="O60" s="1">
        <f t="shared" si="5"/>
        <v>10.94</v>
      </c>
      <c r="P60" s="1">
        <f t="shared" si="5"/>
        <v>10.94</v>
      </c>
    </row>
    <row r="61" spans="1:16" x14ac:dyDescent="0.2">
      <c r="A61" s="59" t="s">
        <v>49</v>
      </c>
      <c r="B61" s="22">
        <f t="shared" si="3"/>
        <v>1.0016707612455926</v>
      </c>
      <c r="C61" s="23" t="s">
        <v>50</v>
      </c>
      <c r="D61" s="24">
        <f t="shared" si="4"/>
        <v>4.8230722744724752E-4</v>
      </c>
      <c r="G61" s="1">
        <f t="shared" si="5"/>
        <v>1.0016707612455926</v>
      </c>
      <c r="H61" s="1">
        <f t="shared" si="5"/>
        <v>1.0016707612455926</v>
      </c>
      <c r="I61" s="1">
        <f t="shared" si="5"/>
        <v>1.0016707612455926</v>
      </c>
      <c r="J61" s="1">
        <f t="shared" si="5"/>
        <v>1.0016707612455926</v>
      </c>
      <c r="K61" s="1">
        <f t="shared" si="5"/>
        <v>1.0016707612455926</v>
      </c>
      <c r="L61" s="30">
        <f>$B61+$D61</f>
        <v>1.00215306847304</v>
      </c>
      <c r="M61" s="1">
        <f t="shared" si="5"/>
        <v>1.0016707612455926</v>
      </c>
      <c r="N61" s="1">
        <f t="shared" si="5"/>
        <v>1.0016707612455926</v>
      </c>
      <c r="O61" s="1">
        <f t="shared" si="5"/>
        <v>1.0016707612455926</v>
      </c>
      <c r="P61" s="1">
        <f t="shared" si="5"/>
        <v>1.0016707612455926</v>
      </c>
    </row>
    <row r="62" spans="1:16" ht="14.25" x14ac:dyDescent="0.25">
      <c r="A62" s="9" t="s">
        <v>97</v>
      </c>
      <c r="B62" s="22">
        <f t="shared" si="3"/>
        <v>0</v>
      </c>
      <c r="C62" s="23" t="s">
        <v>8</v>
      </c>
      <c r="D62" s="24">
        <f t="shared" si="4"/>
        <v>2.9763446373797637E-3</v>
      </c>
      <c r="G62" s="1">
        <f t="shared" si="5"/>
        <v>0</v>
      </c>
      <c r="H62" s="1">
        <f t="shared" si="5"/>
        <v>0</v>
      </c>
      <c r="I62" s="1">
        <f t="shared" si="5"/>
        <v>0</v>
      </c>
      <c r="J62" s="1">
        <f t="shared" si="5"/>
        <v>0</v>
      </c>
      <c r="K62" s="1">
        <f t="shared" si="5"/>
        <v>0</v>
      </c>
      <c r="L62" s="1">
        <f t="shared" si="5"/>
        <v>0</v>
      </c>
      <c r="M62" s="30">
        <f>$B62+$D62</f>
        <v>2.9763446373797637E-3</v>
      </c>
      <c r="N62" s="1">
        <f t="shared" si="5"/>
        <v>0</v>
      </c>
      <c r="O62" s="1">
        <f t="shared" si="5"/>
        <v>0</v>
      </c>
      <c r="P62" s="1">
        <f t="shared" si="5"/>
        <v>0</v>
      </c>
    </row>
    <row r="63" spans="1:16" ht="14.25" x14ac:dyDescent="0.25">
      <c r="A63" s="9" t="s">
        <v>98</v>
      </c>
      <c r="B63" s="22">
        <f t="shared" si="3"/>
        <v>0</v>
      </c>
      <c r="C63" s="23" t="s">
        <v>8</v>
      </c>
      <c r="D63" s="24">
        <f t="shared" si="4"/>
        <v>6.310645817397661E-3</v>
      </c>
      <c r="G63" s="1">
        <f t="shared" si="5"/>
        <v>0</v>
      </c>
      <c r="H63" s="1">
        <f t="shared" si="5"/>
        <v>0</v>
      </c>
      <c r="I63" s="1">
        <f t="shared" si="5"/>
        <v>0</v>
      </c>
      <c r="J63" s="1">
        <f t="shared" si="5"/>
        <v>0</v>
      </c>
      <c r="K63" s="1">
        <f t="shared" si="5"/>
        <v>0</v>
      </c>
      <c r="L63" s="1">
        <f t="shared" si="5"/>
        <v>0</v>
      </c>
      <c r="M63" s="1">
        <f t="shared" si="5"/>
        <v>0</v>
      </c>
      <c r="N63" s="30">
        <f>$B63+$D63</f>
        <v>6.310645817397661E-3</v>
      </c>
      <c r="O63" s="1">
        <f t="shared" si="5"/>
        <v>0</v>
      </c>
      <c r="P63" s="1">
        <f t="shared" si="5"/>
        <v>0</v>
      </c>
    </row>
    <row r="64" spans="1:16" ht="14.25" x14ac:dyDescent="0.25">
      <c r="A64" s="9" t="s">
        <v>99</v>
      </c>
      <c r="B64" s="22">
        <f t="shared" si="3"/>
        <v>0</v>
      </c>
      <c r="C64" s="23" t="s">
        <v>8</v>
      </c>
      <c r="D64" s="24">
        <f t="shared" si="4"/>
        <v>0.12122714699384712</v>
      </c>
      <c r="G64" s="1">
        <f t="shared" si="5"/>
        <v>0</v>
      </c>
      <c r="H64" s="1">
        <f t="shared" si="5"/>
        <v>0</v>
      </c>
      <c r="I64" s="1">
        <f t="shared" si="5"/>
        <v>0</v>
      </c>
      <c r="J64" s="1">
        <f t="shared" si="5"/>
        <v>0</v>
      </c>
      <c r="K64" s="1">
        <f t="shared" si="5"/>
        <v>0</v>
      </c>
      <c r="L64" s="1">
        <f t="shared" si="5"/>
        <v>0</v>
      </c>
      <c r="M64" s="1">
        <f t="shared" si="5"/>
        <v>0</v>
      </c>
      <c r="N64" s="1">
        <f t="shared" si="5"/>
        <v>0</v>
      </c>
      <c r="O64" s="30">
        <f>$B64+$D64</f>
        <v>0.12122714699384712</v>
      </c>
      <c r="P64" s="1">
        <f t="shared" si="5"/>
        <v>0</v>
      </c>
    </row>
    <row r="65" spans="1:16" ht="14.25" x14ac:dyDescent="0.25">
      <c r="A65" s="9" t="s">
        <v>100</v>
      </c>
      <c r="B65" s="22">
        <f t="shared" si="3"/>
        <v>0</v>
      </c>
      <c r="C65" s="23" t="s">
        <v>8</v>
      </c>
      <c r="D65" s="24">
        <f t="shared" si="4"/>
        <v>0</v>
      </c>
      <c r="G65" s="1">
        <f t="shared" si="5"/>
        <v>0</v>
      </c>
      <c r="H65" s="1">
        <f t="shared" si="5"/>
        <v>0</v>
      </c>
      <c r="I65" s="1">
        <f t="shared" si="5"/>
        <v>0</v>
      </c>
      <c r="J65" s="1">
        <f t="shared" si="5"/>
        <v>0</v>
      </c>
      <c r="K65" s="1">
        <f t="shared" si="5"/>
        <v>0</v>
      </c>
      <c r="L65" s="1">
        <f t="shared" si="5"/>
        <v>0</v>
      </c>
      <c r="M65" s="1">
        <f t="shared" si="5"/>
        <v>0</v>
      </c>
      <c r="N65" s="1">
        <f t="shared" si="5"/>
        <v>0</v>
      </c>
      <c r="O65" s="1">
        <f t="shared" si="5"/>
        <v>0</v>
      </c>
      <c r="P65" s="30">
        <f>$B65+$D65</f>
        <v>0</v>
      </c>
    </row>
    <row r="67" spans="1:16" ht="15.75" x14ac:dyDescent="0.3">
      <c r="A67" s="4" t="s">
        <v>51</v>
      </c>
      <c r="B67" s="31">
        <f>(B60+B62+B63+B64+B65)/B61/((B57-B56)/(B59-B58))-((B56*B59-B58*B57)/(B59-B58))/((B57-B56)/(B59-B58))</f>
        <v>10.849368305165701</v>
      </c>
      <c r="C67" s="23" t="s">
        <v>8</v>
      </c>
      <c r="E67" s="51"/>
      <c r="F67" s="51"/>
      <c r="G67" s="1">
        <f>(((G60+G62+G63+G64+G65)/G61)-INTERCEPT(G56:G57,G58:G59))/SLOPE(G56:G57,G58:G59)</f>
        <v>10.85061617032461</v>
      </c>
      <c r="H67" s="1">
        <f t="shared" ref="H67:P67" si="6">(((H60+H62+H63+H64+H65)/H61)-INTERCEPT(H56:H57,H58:H59))/SLOPE(H56:H57,H58:H59)</f>
        <v>10.843487141875652</v>
      </c>
      <c r="I67" s="1">
        <f t="shared" si="6"/>
        <v>10.848096359070183</v>
      </c>
      <c r="J67" s="1">
        <f t="shared" si="6"/>
        <v>10.887197838477672</v>
      </c>
      <c r="K67" s="1">
        <f t="shared" si="6"/>
        <v>10.917503749926267</v>
      </c>
      <c r="L67" s="1">
        <f t="shared" si="6"/>
        <v>10.844146818636908</v>
      </c>
      <c r="M67" s="1">
        <f t="shared" si="6"/>
        <v>10.852319992475943</v>
      </c>
      <c r="N67" s="1">
        <f t="shared" si="6"/>
        <v>10.855626670861897</v>
      </c>
      <c r="O67" s="1">
        <f t="shared" si="6"/>
        <v>10.969591154006716</v>
      </c>
      <c r="P67" s="1">
        <f t="shared" si="6"/>
        <v>10.849368305165701</v>
      </c>
    </row>
    <row r="68" spans="1:16" ht="15.75" x14ac:dyDescent="0.3">
      <c r="A68" s="4" t="s">
        <v>52</v>
      </c>
      <c r="B68" s="32">
        <f>SQRT(P70)</f>
        <v>0.14366611438845048</v>
      </c>
      <c r="C68" s="4" t="s">
        <v>8</v>
      </c>
      <c r="G68" s="1">
        <f>G67-$B$67</f>
        <v>1.2478651589091783E-3</v>
      </c>
      <c r="H68" s="1">
        <f t="shared" ref="H68:P68" si="7">H67-$B$67</f>
        <v>-5.8811632900486188E-3</v>
      </c>
      <c r="I68" s="1">
        <f t="shared" si="7"/>
        <v>-1.2719460955175066E-3</v>
      </c>
      <c r="J68" s="1">
        <f t="shared" si="7"/>
        <v>3.782953331197092E-2</v>
      </c>
      <c r="K68" s="1">
        <f t="shared" si="7"/>
        <v>6.8135444760565989E-2</v>
      </c>
      <c r="L68" s="1">
        <f t="shared" si="7"/>
        <v>-5.2214865287929513E-3</v>
      </c>
      <c r="M68" s="1">
        <f t="shared" si="7"/>
        <v>2.9516873102419794E-3</v>
      </c>
      <c r="N68" s="1">
        <f t="shared" si="7"/>
        <v>6.2583656961958667E-3</v>
      </c>
      <c r="O68" s="1">
        <f t="shared" si="7"/>
        <v>0.12022284884101531</v>
      </c>
      <c r="P68" s="1">
        <f t="shared" si="7"/>
        <v>0</v>
      </c>
    </row>
    <row r="69" spans="1:16" ht="15.75" x14ac:dyDescent="0.3">
      <c r="A69" s="33" t="s">
        <v>53</v>
      </c>
      <c r="B69" s="34">
        <f>B68*2</f>
        <v>0.28733222877690096</v>
      </c>
      <c r="C69" s="33" t="s">
        <v>54</v>
      </c>
      <c r="G69" s="1">
        <f>G68^2</f>
        <v>1.5571674548194288E-6</v>
      </c>
      <c r="H69" s="1">
        <f t="shared" ref="H69:P69" si="8">H68^2</f>
        <v>3.4588081644215492E-5</v>
      </c>
      <c r="I69" s="1">
        <f t="shared" si="8"/>
        <v>1.6178468699022299E-6</v>
      </c>
      <c r="J69" s="1">
        <f t="shared" si="8"/>
        <v>1.4310735906015175E-3</v>
      </c>
      <c r="K69" s="1">
        <f t="shared" si="8"/>
        <v>4.642438832720139E-3</v>
      </c>
      <c r="L69" s="1">
        <f t="shared" si="8"/>
        <v>2.7263921570366263E-5</v>
      </c>
      <c r="M69" s="1">
        <f t="shared" si="8"/>
        <v>8.7124579774435314E-6</v>
      </c>
      <c r="N69" s="1">
        <f t="shared" si="8"/>
        <v>3.9167141187321172E-5</v>
      </c>
      <c r="O69" s="1">
        <f t="shared" si="8"/>
        <v>1.4453533383449615E-2</v>
      </c>
      <c r="P69" s="1">
        <f t="shared" si="8"/>
        <v>0</v>
      </c>
    </row>
    <row r="70" spans="1:16" ht="15.75" x14ac:dyDescent="0.3">
      <c r="A70" s="33" t="s">
        <v>70</v>
      </c>
      <c r="B70" s="88">
        <f>B69/B67*100</f>
        <v>2.6483774971497067</v>
      </c>
      <c r="C70" s="33" t="s">
        <v>71</v>
      </c>
      <c r="P70" s="1">
        <f>SUM(G69:P69)</f>
        <v>2.0639952423475341E-2</v>
      </c>
    </row>
    <row r="71" spans="1:16" ht="15.75" x14ac:dyDescent="0.3">
      <c r="B71" s="4" t="s">
        <v>77</v>
      </c>
      <c r="C71" s="1">
        <f>('Table S4'!B67-'Table S5'!B66)/SQRT('Table S4'!B69^2+'Table S5'!B68^2)</f>
        <v>-2.1734837738941621</v>
      </c>
      <c r="E71" s="4" t="s">
        <v>55</v>
      </c>
      <c r="G71" s="89">
        <f>G69/$P$70</f>
        <v>7.5444333536755023E-5</v>
      </c>
      <c r="H71" s="89">
        <f t="shared" ref="H71:P71" si="9">H69/$P$70</f>
        <v>1.6757830122164387E-3</v>
      </c>
      <c r="I71" s="89">
        <f t="shared" si="9"/>
        <v>7.8384234455023904E-5</v>
      </c>
      <c r="J71" s="89">
        <f>J69/$P$70</f>
        <v>6.9335120606860118E-2</v>
      </c>
      <c r="K71" s="89">
        <f t="shared" si="9"/>
        <v>0.22492488051667942</v>
      </c>
      <c r="L71" s="89">
        <f t="shared" si="9"/>
        <v>1.3209294775000059E-3</v>
      </c>
      <c r="M71" s="89">
        <f t="shared" si="9"/>
        <v>4.2211618509034013E-4</v>
      </c>
      <c r="N71" s="89">
        <f>N69/$P$70</f>
        <v>1.8976371836387322E-3</v>
      </c>
      <c r="O71" s="89">
        <f t="shared" si="9"/>
        <v>0.70026970445002312</v>
      </c>
      <c r="P71" s="89">
        <f t="shared" si="9"/>
        <v>0</v>
      </c>
    </row>
    <row r="72" spans="1:16" x14ac:dyDescent="0.2">
      <c r="P72" s="52">
        <f>SUM(G71:P71)</f>
        <v>1</v>
      </c>
    </row>
  </sheetData>
  <mergeCells count="4">
    <mergeCell ref="A41:E41"/>
    <mergeCell ref="F41:K41"/>
    <mergeCell ref="F42:H42"/>
    <mergeCell ref="I42:K42"/>
  </mergeCells>
  <pageMargins left="0.7" right="0.7" top="0.75" bottom="0.75" header="0.3" footer="0.3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3313" r:id="rId4">
          <objectPr defaultSize="0" autoPict="0" r:id="rId5">
            <anchor moveWithCells="1" sizeWithCells="1">
              <from>
                <xdr:col>6</xdr:col>
                <xdr:colOff>161925</xdr:colOff>
                <xdr:row>2</xdr:row>
                <xdr:rowOff>85725</xdr:rowOff>
              </from>
              <to>
                <xdr:col>9</xdr:col>
                <xdr:colOff>190500</xdr:colOff>
                <xdr:row>5</xdr:row>
                <xdr:rowOff>57150</xdr:rowOff>
              </to>
            </anchor>
          </objectPr>
        </oleObject>
      </mc:Choice>
      <mc:Fallback>
        <oleObject progId="Equation.3" shapeId="13313" r:id="rId4"/>
      </mc:Fallback>
    </mc:AlternateContent>
    <mc:AlternateContent xmlns:mc="http://schemas.openxmlformats.org/markup-compatibility/2006">
      <mc:Choice Requires="x14">
        <oleObject progId="Equation.3" shapeId="13314" r:id="rId6">
          <objectPr defaultSize="0" autoPict="0" r:id="rId7">
            <anchor moveWithCells="1" sizeWithCells="1">
              <from>
                <xdr:col>9</xdr:col>
                <xdr:colOff>514350</xdr:colOff>
                <xdr:row>2</xdr:row>
                <xdr:rowOff>9525</xdr:rowOff>
              </from>
              <to>
                <xdr:col>12</xdr:col>
                <xdr:colOff>85725</xdr:colOff>
                <xdr:row>4</xdr:row>
                <xdr:rowOff>142875</xdr:rowOff>
              </to>
            </anchor>
          </objectPr>
        </oleObject>
      </mc:Choice>
      <mc:Fallback>
        <oleObject progId="Equation.3" shapeId="13314" r:id="rId6"/>
      </mc:Fallback>
    </mc:AlternateContent>
    <mc:AlternateContent xmlns:mc="http://schemas.openxmlformats.org/markup-compatibility/2006">
      <mc:Choice Requires="x14">
        <oleObject progId="Equation.3" shapeId="13315" r:id="rId8">
          <objectPr defaultSize="0" autoPict="0" r:id="rId9">
            <anchor moveWithCells="1" sizeWithCells="1">
              <from>
                <xdr:col>0</xdr:col>
                <xdr:colOff>533400</xdr:colOff>
                <xdr:row>2</xdr:row>
                <xdr:rowOff>57150</xdr:rowOff>
              </from>
              <to>
                <xdr:col>5</xdr:col>
                <xdr:colOff>381000</xdr:colOff>
                <xdr:row>5</xdr:row>
                <xdr:rowOff>28575</xdr:rowOff>
              </to>
            </anchor>
          </objectPr>
        </oleObject>
      </mc:Choice>
      <mc:Fallback>
        <oleObject progId="Equation.3" shapeId="13315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1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13.42578125" style="1" customWidth="1"/>
    <col min="3" max="4" width="9.140625" style="1"/>
    <col min="5" max="5" width="12.42578125" style="1" bestFit="1" customWidth="1"/>
    <col min="6" max="6" width="12.7109375" style="1" bestFit="1" customWidth="1"/>
    <col min="7" max="7" width="12.140625" style="1" bestFit="1" customWidth="1"/>
    <col min="8" max="8" width="19.28515625" style="1" customWidth="1"/>
    <col min="9" max="9" width="7" style="1" customWidth="1"/>
    <col min="10" max="10" width="10.140625" style="1" customWidth="1"/>
    <col min="11" max="22" width="9.140625" style="1"/>
    <col min="23" max="23" width="13" style="1" customWidth="1"/>
    <col min="24" max="16384" width="9.140625" style="1"/>
  </cols>
  <sheetData>
    <row r="1" spans="1:13" ht="12.95" x14ac:dyDescent="0.3">
      <c r="A1" s="5" t="s">
        <v>186</v>
      </c>
    </row>
    <row r="2" spans="1:13" ht="12.95" x14ac:dyDescent="0.3">
      <c r="A2" s="5" t="s">
        <v>185</v>
      </c>
    </row>
    <row r="4" spans="1:13" ht="12.6" customHeight="1" x14ac:dyDescent="0.3">
      <c r="A4" s="5"/>
    </row>
    <row r="5" spans="1:13" ht="12.6" x14ac:dyDescent="0.25">
      <c r="A5" s="6"/>
    </row>
    <row r="6" spans="1:13" ht="12.6" x14ac:dyDescent="0.25">
      <c r="A6" s="4"/>
    </row>
    <row r="8" spans="1:13" s="2" customFormat="1" ht="18" x14ac:dyDescent="0.4">
      <c r="A8" s="73" t="s">
        <v>120</v>
      </c>
    </row>
    <row r="9" spans="1:13" s="36" customFormat="1" ht="11.45" x14ac:dyDescent="0.25">
      <c r="A9" s="36" t="s">
        <v>60</v>
      </c>
    </row>
    <row r="10" spans="1:13" s="36" customFormat="1" ht="15" x14ac:dyDescent="0.4">
      <c r="A10" s="9" t="s">
        <v>78</v>
      </c>
      <c r="B10" s="44">
        <v>1.9832633040858201E-2</v>
      </c>
      <c r="C10" s="38" t="s">
        <v>8</v>
      </c>
      <c r="D10" s="38" t="s">
        <v>57</v>
      </c>
    </row>
    <row r="11" spans="1:13" s="36" customFormat="1" ht="14.45" customHeight="1" x14ac:dyDescent="0.4">
      <c r="A11" s="9" t="s">
        <v>79</v>
      </c>
      <c r="B11" s="44">
        <v>1.9832633040858156E-2</v>
      </c>
      <c r="C11" s="38" t="s">
        <v>8</v>
      </c>
      <c r="D11" s="38" t="s">
        <v>61</v>
      </c>
      <c r="E11" s="42"/>
    </row>
    <row r="12" spans="1:13" s="36" customFormat="1" ht="14.45" customHeight="1" x14ac:dyDescent="0.4">
      <c r="A12" s="9" t="s">
        <v>80</v>
      </c>
      <c r="B12" s="44">
        <v>5.1187980221346824E-2</v>
      </c>
      <c r="C12" s="38" t="s">
        <v>8</v>
      </c>
      <c r="D12" s="38" t="s">
        <v>58</v>
      </c>
      <c r="E12" s="38"/>
      <c r="F12" s="37"/>
      <c r="G12" s="37"/>
      <c r="K12" s="41"/>
      <c r="L12" s="41"/>
      <c r="M12" s="41"/>
    </row>
    <row r="13" spans="1:13" s="36" customFormat="1" ht="14.45" customHeight="1" x14ac:dyDescent="0.4">
      <c r="A13" s="9" t="s">
        <v>81</v>
      </c>
      <c r="B13" s="37">
        <v>3.1E-2</v>
      </c>
      <c r="C13" s="38" t="s">
        <v>8</v>
      </c>
      <c r="D13" s="55" t="s">
        <v>203</v>
      </c>
      <c r="E13" s="38"/>
      <c r="F13" s="37"/>
      <c r="G13" s="37"/>
    </row>
    <row r="14" spans="1:13" s="36" customFormat="1" ht="14.45" customHeight="1" x14ac:dyDescent="0.4">
      <c r="A14" s="9" t="s">
        <v>82</v>
      </c>
      <c r="B14" s="39">
        <v>1.461426052270281E-2</v>
      </c>
      <c r="C14" s="38" t="s">
        <v>122</v>
      </c>
      <c r="D14" s="38" t="s">
        <v>62</v>
      </c>
      <c r="E14" s="38"/>
      <c r="F14" s="37"/>
      <c r="G14" s="37"/>
    </row>
    <row r="15" spans="1:13" s="36" customFormat="1" ht="14.45" customHeight="1" x14ac:dyDescent="0.25">
      <c r="A15" s="9" t="s">
        <v>83</v>
      </c>
      <c r="B15" s="44">
        <v>-7.7609411222321581E-2</v>
      </c>
      <c r="C15" s="38" t="s">
        <v>63</v>
      </c>
      <c r="D15" s="38" t="s">
        <v>64</v>
      </c>
      <c r="E15" s="38"/>
      <c r="F15" s="37"/>
      <c r="G15" s="37"/>
    </row>
    <row r="16" spans="1:13" s="36" customFormat="1" ht="14.45" customHeight="1" x14ac:dyDescent="0.4">
      <c r="A16" s="9" t="s">
        <v>84</v>
      </c>
      <c r="B16" s="39">
        <v>3.7617436074540932E-3</v>
      </c>
      <c r="C16" s="38" t="s">
        <v>8</v>
      </c>
      <c r="D16" s="38" t="s">
        <v>107</v>
      </c>
      <c r="E16" s="38"/>
      <c r="F16" s="37"/>
      <c r="G16" s="37"/>
    </row>
    <row r="17" spans="1:21" s="36" customFormat="1" ht="14.45" customHeight="1" x14ac:dyDescent="0.4">
      <c r="A17" s="72" t="s">
        <v>123</v>
      </c>
      <c r="B17" s="39">
        <v>8.9586279390695481E-4</v>
      </c>
      <c r="C17" s="38" t="s">
        <v>8</v>
      </c>
      <c r="D17" s="38" t="s">
        <v>124</v>
      </c>
      <c r="E17" s="37"/>
      <c r="F17" s="37"/>
      <c r="G17" s="37"/>
    </row>
    <row r="18" spans="1:21" s="36" customFormat="1" ht="14.45" customHeight="1" x14ac:dyDescent="0.25">
      <c r="A18" s="37"/>
      <c r="B18" s="37"/>
      <c r="C18" s="37"/>
      <c r="D18" s="37"/>
      <c r="E18" s="37"/>
      <c r="F18" s="37"/>
      <c r="G18" s="37"/>
    </row>
    <row r="19" spans="1:21" ht="12.95" x14ac:dyDescent="0.3">
      <c r="A19" s="2" t="s">
        <v>3</v>
      </c>
    </row>
    <row r="20" spans="1:21" ht="12.95" x14ac:dyDescent="0.3">
      <c r="A20" s="2"/>
      <c r="B20" s="2" t="s">
        <v>4</v>
      </c>
      <c r="C20" s="2" t="s">
        <v>5</v>
      </c>
      <c r="D20" s="2" t="s">
        <v>6</v>
      </c>
    </row>
    <row r="21" spans="1:21" ht="12.95" x14ac:dyDescent="0.3">
      <c r="A21" s="2" t="s">
        <v>7</v>
      </c>
      <c r="B21" s="8"/>
      <c r="C21" s="2"/>
      <c r="D21" s="2"/>
    </row>
    <row r="22" spans="1:21" ht="15" x14ac:dyDescent="0.4">
      <c r="A22" s="9" t="s">
        <v>86</v>
      </c>
      <c r="B22" s="10">
        <v>0</v>
      </c>
      <c r="C22" s="4" t="s">
        <v>8</v>
      </c>
      <c r="D22" s="4" t="s">
        <v>9</v>
      </c>
      <c r="L22" s="4" t="s">
        <v>200</v>
      </c>
    </row>
    <row r="23" spans="1:21" ht="15" x14ac:dyDescent="0.4">
      <c r="A23" s="9" t="s">
        <v>87</v>
      </c>
      <c r="B23" s="10">
        <v>8.89</v>
      </c>
      <c r="C23" s="4" t="s">
        <v>8</v>
      </c>
      <c r="D23" s="4" t="s">
        <v>10</v>
      </c>
      <c r="L23" s="4" t="s">
        <v>12</v>
      </c>
      <c r="M23" s="1">
        <v>8.0000000000000002E-3</v>
      </c>
    </row>
    <row r="24" spans="1:21" ht="15" x14ac:dyDescent="0.4">
      <c r="A24" s="9" t="s">
        <v>88</v>
      </c>
      <c r="B24" s="8">
        <v>0</v>
      </c>
      <c r="C24" s="4" t="s">
        <v>8</v>
      </c>
      <c r="D24" s="4" t="s">
        <v>72</v>
      </c>
      <c r="L24" s="4" t="s">
        <v>15</v>
      </c>
      <c r="M24" s="1">
        <v>-0.16919999999999999</v>
      </c>
      <c r="O24" s="45"/>
      <c r="P24" s="45"/>
      <c r="Q24" s="35"/>
      <c r="R24" s="35"/>
      <c r="S24" s="35"/>
      <c r="T24" s="35"/>
      <c r="U24" s="35"/>
    </row>
    <row r="25" spans="1:21" ht="15" x14ac:dyDescent="0.25">
      <c r="A25" s="9" t="s">
        <v>89</v>
      </c>
      <c r="B25" s="11">
        <f>(EXP(-139.3441+157570.1/(B26+273.15)+(-66423080/(B26+273.15)^2)+(12438000000/(B26+273.15)^3)+(-862194900000/(B26+273.15)^4)))*(B27-101325*(EXP((((-216961*(1/(B26+273.15)))-3840.7)*(1/(B26+273.15))+11.8571))))/(101325-101325*(EXP((((-216961*(1/(B26+273.15)))-3840.7)*(1/(B26+273.15))+11.8571))))</f>
        <v>8.8906837598682564</v>
      </c>
      <c r="C25" s="4" t="s">
        <v>8</v>
      </c>
      <c r="D25" s="4" t="s">
        <v>198</v>
      </c>
      <c r="L25" s="4" t="s">
        <v>17</v>
      </c>
      <c r="M25" s="1">
        <v>25.385100000000001</v>
      </c>
      <c r="O25" s="4" t="s">
        <v>75</v>
      </c>
      <c r="Q25" s="35"/>
      <c r="R25" s="35"/>
      <c r="S25" s="35"/>
      <c r="T25" s="35"/>
      <c r="U25" s="35"/>
    </row>
    <row r="26" spans="1:21" ht="15.75" x14ac:dyDescent="0.3">
      <c r="A26" s="8" t="s">
        <v>90</v>
      </c>
      <c r="B26" s="10">
        <v>19.928999999999998</v>
      </c>
      <c r="C26" s="4" t="s">
        <v>13</v>
      </c>
      <c r="D26" s="4" t="s">
        <v>14</v>
      </c>
      <c r="L26" s="4" t="s">
        <v>19</v>
      </c>
      <c r="M26" s="1">
        <v>14.094099999999999</v>
      </c>
      <c r="O26" s="1">
        <f>42.914*1.25608904610271</f>
        <v>53.903805324451703</v>
      </c>
      <c r="P26" s="1" t="s">
        <v>11</v>
      </c>
    </row>
    <row r="27" spans="1:21" ht="15.95" x14ac:dyDescent="0.4">
      <c r="A27" s="8" t="s">
        <v>91</v>
      </c>
      <c r="B27" s="12">
        <v>98991</v>
      </c>
      <c r="C27" s="4" t="s">
        <v>1</v>
      </c>
      <c r="D27" s="4" t="s">
        <v>16</v>
      </c>
      <c r="L27" s="4" t="s">
        <v>21</v>
      </c>
      <c r="M27" s="1">
        <v>-7.0260999999999996</v>
      </c>
      <c r="O27" s="35" t="s">
        <v>76</v>
      </c>
      <c r="P27" s="35"/>
    </row>
    <row r="28" spans="1:21" ht="15.75" x14ac:dyDescent="0.3">
      <c r="A28" s="8" t="s">
        <v>92</v>
      </c>
      <c r="B28" s="10">
        <v>19.899999999999999</v>
      </c>
      <c r="C28" s="4" t="s">
        <v>13</v>
      </c>
      <c r="D28" s="4" t="s">
        <v>18</v>
      </c>
      <c r="L28" s="4" t="s">
        <v>22</v>
      </c>
      <c r="M28" s="1">
        <v>2.7081</v>
      </c>
      <c r="O28" s="56" t="s">
        <v>73</v>
      </c>
      <c r="P28" s="35" t="s">
        <v>56</v>
      </c>
    </row>
    <row r="29" spans="1:21" ht="15.75" x14ac:dyDescent="0.3">
      <c r="A29" s="8" t="s">
        <v>93</v>
      </c>
      <c r="B29" s="10">
        <v>99200</v>
      </c>
      <c r="C29" s="4" t="s">
        <v>1</v>
      </c>
      <c r="D29" s="4" t="s">
        <v>20</v>
      </c>
      <c r="L29" s="4" t="s">
        <v>24</v>
      </c>
      <c r="M29" s="1">
        <v>5.0000000000000001E-4</v>
      </c>
      <c r="O29" s="56" t="s">
        <v>201</v>
      </c>
      <c r="P29" s="35" t="s">
        <v>74</v>
      </c>
    </row>
    <row r="30" spans="1:21" ht="12.6" x14ac:dyDescent="0.25">
      <c r="A30" s="46"/>
      <c r="B30" s="47"/>
      <c r="C30" s="6"/>
      <c r="D30" s="48"/>
      <c r="L30" s="4" t="s">
        <v>26</v>
      </c>
      <c r="M30" s="1">
        <v>-5.5999999999999999E-3</v>
      </c>
    </row>
    <row r="31" spans="1:21" ht="12.95" x14ac:dyDescent="0.3">
      <c r="A31" s="2" t="s">
        <v>23</v>
      </c>
      <c r="B31" s="2"/>
      <c r="C31" s="2"/>
      <c r="D31" s="2"/>
      <c r="F31" s="4" t="s">
        <v>55</v>
      </c>
      <c r="L31" s="4" t="s">
        <v>29</v>
      </c>
      <c r="M31" s="1">
        <v>-6.6E-3</v>
      </c>
    </row>
    <row r="32" spans="1:21" ht="15" x14ac:dyDescent="0.4">
      <c r="A32" s="9" t="s">
        <v>94</v>
      </c>
      <c r="B32" s="13">
        <v>11.654999999999999</v>
      </c>
      <c r="C32" s="4" t="s">
        <v>8</v>
      </c>
      <c r="D32" s="4" t="s">
        <v>25</v>
      </c>
      <c r="E32" s="2"/>
      <c r="L32" s="4" t="s">
        <v>31</v>
      </c>
      <c r="M32" s="1">
        <v>-3.7499999999999999E-2</v>
      </c>
    </row>
    <row r="33" spans="1:14" ht="12.6" x14ac:dyDescent="0.25">
      <c r="A33" s="58" t="s">
        <v>27</v>
      </c>
      <c r="B33" s="14">
        <v>0.57799999999999996</v>
      </c>
      <c r="C33" s="4" t="s">
        <v>11</v>
      </c>
      <c r="D33" s="4" t="s">
        <v>28</v>
      </c>
      <c r="L33" s="4" t="s">
        <v>33</v>
      </c>
      <c r="M33" s="1">
        <v>6.3600000000000004E-2</v>
      </c>
    </row>
    <row r="34" spans="1:14" ht="12.95" x14ac:dyDescent="0.3">
      <c r="A34" s="8" t="s">
        <v>0</v>
      </c>
      <c r="B34" s="74">
        <f>M23+M24*(B33/O26)^0.5+M25*(B33/O26)+M26*(B33/O26)^1.5+M27*(B33/O26)^2+M28*(B33/O26)^2.5+((10/(1+0.0162*10))*(M29+M30*(B33/O26)^0.5+M31*(B33/O26)+M32*(B33/O26)^1.5+M33*(B33/O26)^2+M34*(B33/O26)^2.5))-(M23/(1+1.5*M35*(B33/O26)+(400*(B33/O26))^2))-(M29*(10/(1+0.0162*10))/(1+(M36*(B33/O26))^0.5+(M36*(B33/O26))^1.5))</f>
        <v>0.27428161078969704</v>
      </c>
      <c r="C34" s="4" t="s">
        <v>30</v>
      </c>
      <c r="D34" s="4" t="s">
        <v>199</v>
      </c>
      <c r="L34" s="4" t="s">
        <v>34</v>
      </c>
      <c r="M34" s="1">
        <v>-1.44E-2</v>
      </c>
    </row>
    <row r="35" spans="1:14" ht="15.75" x14ac:dyDescent="0.3">
      <c r="A35" s="8" t="s">
        <v>95</v>
      </c>
      <c r="B35" s="13">
        <v>15.4</v>
      </c>
      <c r="C35" s="4" t="s">
        <v>13</v>
      </c>
      <c r="D35" s="4" t="s">
        <v>32</v>
      </c>
      <c r="L35" s="4" t="s">
        <v>37</v>
      </c>
      <c r="M35" s="1">
        <v>400</v>
      </c>
      <c r="N35" s="4" t="s">
        <v>38</v>
      </c>
    </row>
    <row r="36" spans="1:14" ht="14.25" x14ac:dyDescent="0.25">
      <c r="A36" s="9" t="s">
        <v>96</v>
      </c>
      <c r="B36" s="13">
        <v>50</v>
      </c>
      <c r="C36" s="4" t="s">
        <v>59</v>
      </c>
      <c r="D36" s="4" t="s">
        <v>66</v>
      </c>
      <c r="L36" s="4" t="s">
        <v>39</v>
      </c>
      <c r="M36" s="1">
        <v>100</v>
      </c>
      <c r="N36" s="4" t="s">
        <v>38</v>
      </c>
    </row>
    <row r="37" spans="1:14" x14ac:dyDescent="0.2">
      <c r="A37" s="9" t="s">
        <v>35</v>
      </c>
      <c r="B37" s="13">
        <v>24</v>
      </c>
      <c r="C37" s="4"/>
      <c r="D37" s="4" t="s">
        <v>36</v>
      </c>
    </row>
    <row r="38" spans="1:14" x14ac:dyDescent="0.2">
      <c r="A38" s="9"/>
      <c r="B38" s="15"/>
      <c r="C38" s="4"/>
      <c r="D38" s="4"/>
    </row>
    <row r="39" spans="1:14" ht="13.5" thickBot="1" x14ac:dyDescent="0.25">
      <c r="A39" s="9"/>
      <c r="C39" s="4"/>
      <c r="D39" s="4"/>
    </row>
    <row r="40" spans="1:14" ht="13.5" thickBot="1" x14ac:dyDescent="0.25">
      <c r="A40" s="117" t="s">
        <v>40</v>
      </c>
      <c r="B40" s="118"/>
      <c r="C40" s="118"/>
      <c r="D40" s="118"/>
      <c r="E40" s="119"/>
      <c r="F40" s="117" t="s">
        <v>41</v>
      </c>
      <c r="G40" s="118"/>
      <c r="H40" s="118"/>
      <c r="I40" s="118"/>
      <c r="J40" s="118"/>
      <c r="K40" s="119"/>
      <c r="L40" s="49"/>
      <c r="M40" s="49"/>
      <c r="N40" s="49"/>
    </row>
    <row r="41" spans="1:14" ht="15" thickBot="1" x14ac:dyDescent="0.3">
      <c r="A41" s="17" t="s">
        <v>42</v>
      </c>
      <c r="B41" s="18" t="s">
        <v>4</v>
      </c>
      <c r="C41" s="19" t="s">
        <v>5</v>
      </c>
      <c r="D41" s="20" t="s">
        <v>43</v>
      </c>
      <c r="E41" s="21" t="s">
        <v>44</v>
      </c>
      <c r="F41" s="120" t="s">
        <v>45</v>
      </c>
      <c r="G41" s="121"/>
      <c r="H41" s="121"/>
      <c r="I41" s="120" t="s">
        <v>46</v>
      </c>
      <c r="J41" s="121"/>
      <c r="K41" s="122"/>
      <c r="L41" s="49"/>
      <c r="M41" s="49"/>
      <c r="N41" s="49"/>
    </row>
    <row r="42" spans="1:14" ht="14.25" x14ac:dyDescent="0.25">
      <c r="A42" s="9" t="s">
        <v>86</v>
      </c>
      <c r="B42" s="22">
        <f>B22</f>
        <v>0</v>
      </c>
      <c r="C42" s="23" t="s">
        <v>8</v>
      </c>
      <c r="D42" s="24">
        <f>SQRT(SUMSQ(F42,I42,L42))</f>
        <v>2.0041623354076683E-2</v>
      </c>
      <c r="E42" s="25"/>
      <c r="F42" s="4">
        <f>0.005/SQRT(3)</f>
        <v>2.886751345948129E-3</v>
      </c>
      <c r="G42" s="9" t="s">
        <v>101</v>
      </c>
      <c r="H42" s="4" t="s">
        <v>47</v>
      </c>
      <c r="I42" s="40">
        <f>B11</f>
        <v>1.9832633040858156E-2</v>
      </c>
      <c r="J42" s="9" t="s">
        <v>78</v>
      </c>
      <c r="K42" s="4" t="s">
        <v>67</v>
      </c>
      <c r="L42" s="22"/>
      <c r="M42" s="22"/>
      <c r="N42" s="22"/>
    </row>
    <row r="43" spans="1:14" ht="14.25" x14ac:dyDescent="0.25">
      <c r="A43" s="9" t="s">
        <v>87</v>
      </c>
      <c r="B43" s="22">
        <f>B23</f>
        <v>8.89</v>
      </c>
      <c r="C43" s="23" t="s">
        <v>8</v>
      </c>
      <c r="D43" s="24">
        <f t="shared" ref="D43:D50" si="0">SQRT(SUMSQ(F43,I43,L43))</f>
        <v>2.0041623354076728E-2</v>
      </c>
      <c r="E43" s="25">
        <f>D43/B43</f>
        <v>2.254400827230228E-3</v>
      </c>
      <c r="F43" s="4">
        <f>0.005/SQRT(3)</f>
        <v>2.886751345948129E-3</v>
      </c>
      <c r="G43" s="9" t="s">
        <v>102</v>
      </c>
      <c r="H43" s="4" t="s">
        <v>47</v>
      </c>
      <c r="I43" s="40">
        <f>B10</f>
        <v>1.9832633040858201E-2</v>
      </c>
      <c r="J43" s="9" t="s">
        <v>79</v>
      </c>
      <c r="K43" s="4" t="s">
        <v>67</v>
      </c>
      <c r="L43" s="22"/>
      <c r="M43" s="22"/>
      <c r="N43" s="22"/>
    </row>
    <row r="44" spans="1:14" ht="14.25" x14ac:dyDescent="0.25">
      <c r="A44" s="9" t="s">
        <v>88</v>
      </c>
      <c r="B44" s="22">
        <f>B24</f>
        <v>0</v>
      </c>
      <c r="C44" s="23" t="s">
        <v>8</v>
      </c>
      <c r="D44" s="24">
        <f t="shared" si="0"/>
        <v>5.773502691896258E-3</v>
      </c>
      <c r="E44" s="25"/>
      <c r="F44" s="1">
        <f>0.01/SQRT(3)</f>
        <v>5.773502691896258E-3</v>
      </c>
      <c r="G44" s="9" t="s">
        <v>103</v>
      </c>
      <c r="H44" s="57" t="s">
        <v>48</v>
      </c>
      <c r="I44" s="22"/>
      <c r="J44" s="22"/>
      <c r="K44" s="22"/>
      <c r="L44" s="22"/>
      <c r="M44" s="22"/>
      <c r="N44" s="22"/>
    </row>
    <row r="45" spans="1:14" ht="14.25" x14ac:dyDescent="0.25">
      <c r="A45" s="9" t="s">
        <v>89</v>
      </c>
      <c r="B45" s="26">
        <f>B25</f>
        <v>8.8906837598682564</v>
      </c>
      <c r="C45" s="23" t="s">
        <v>8</v>
      </c>
      <c r="D45" s="24">
        <f t="shared" si="0"/>
        <v>3.1E-2</v>
      </c>
      <c r="E45" s="25">
        <f>D45/B45</f>
        <v>3.4867959357559428E-3</v>
      </c>
      <c r="F45" s="22">
        <f>B13</f>
        <v>3.1E-2</v>
      </c>
      <c r="G45" s="9" t="s">
        <v>81</v>
      </c>
      <c r="H45" s="57" t="s">
        <v>202</v>
      </c>
      <c r="I45" s="22"/>
      <c r="J45" s="22"/>
      <c r="K45" s="22"/>
      <c r="L45" s="22"/>
      <c r="M45" s="22"/>
      <c r="N45" s="22"/>
    </row>
    <row r="46" spans="1:14" ht="14.25" x14ac:dyDescent="0.25">
      <c r="A46" s="9" t="s">
        <v>94</v>
      </c>
      <c r="B46" s="26">
        <f>B32</f>
        <v>11.654999999999999</v>
      </c>
      <c r="C46" s="23" t="s">
        <v>8</v>
      </c>
      <c r="D46" s="24">
        <f>SQRT(SUMSQ(F46,I46,L46))</f>
        <v>5.1269314921055138E-2</v>
      </c>
      <c r="E46" s="25">
        <f>D46/B46</f>
        <v>4.3989116191381506E-3</v>
      </c>
      <c r="F46" s="4">
        <f>0.005/SQRT(3)</f>
        <v>2.886751345948129E-3</v>
      </c>
      <c r="G46" s="9" t="s">
        <v>104</v>
      </c>
      <c r="H46" s="4" t="s">
        <v>47</v>
      </c>
      <c r="I46" s="40">
        <f>B12</f>
        <v>5.1187980221346824E-2</v>
      </c>
      <c r="J46" s="50" t="s">
        <v>80</v>
      </c>
      <c r="K46" s="4" t="s">
        <v>109</v>
      </c>
      <c r="L46" s="4"/>
      <c r="M46" s="4"/>
      <c r="N46" s="4"/>
    </row>
    <row r="47" spans="1:14" ht="15.75" x14ac:dyDescent="0.3">
      <c r="A47" s="59" t="s">
        <v>49</v>
      </c>
      <c r="B47" s="15">
        <f>(EXP(-139.3441+157570.1/(B35+273.15)+(-66423080/(B35+273.15)^2)+(12438000000/(B35+273.15)^3)+(-862194900000/(B35+273.15)^4)))*($B$27-101325*(EXP((((-216961*(1/(B35+273.15)))-3840.7)*(1/(B35+273.15))+11.8571))))/(101325-101325*(EXP((((-216961*(1/(B35+273.15)))-3840.7)*(1/(B35+273.15))+11.8571))))/((EXP(-139.3441+157570.1/(B35+273.15)+(-66423080/(B35+273.15)^2)+(12438000000/(B35+273.15)^3)+(-862194900000/(B35+273.15)^4)))*($B$27-101325*(EXP((((-216961*(1/(B35+273.15)))-3840.7)*(1/(B35+273.15))+11.8571))))/(101325-101325*(EXP((((-216961*(1/(B35+273.15)))-3840.7)*(1/(B35+273.15))+11.8571))))*EXP(-B34*(0.017674-10.754/(B35+273.15)+2140.7/((B35+273.15)^2))))</f>
        <v>1.0016787990455063</v>
      </c>
      <c r="C47" s="23" t="s">
        <v>50</v>
      </c>
      <c r="D47" s="24">
        <f>SQRT(SUMSQ(F47,I47,L47))</f>
        <v>4.8462754041916705E-4</v>
      </c>
      <c r="E47" s="25">
        <f>D47/B47</f>
        <v>4.8381531173562398E-4</v>
      </c>
      <c r="F47" s="4">
        <f>(B47-1)*0.5/SQRT(3)</f>
        <v>4.8462754041916705E-4</v>
      </c>
      <c r="G47" s="28" t="s">
        <v>69</v>
      </c>
      <c r="H47" s="4"/>
      <c r="I47" s="4"/>
      <c r="J47" s="4"/>
      <c r="K47" s="4"/>
      <c r="L47" s="4"/>
      <c r="M47" s="4"/>
      <c r="N47" s="4"/>
    </row>
    <row r="48" spans="1:14" ht="15.75" x14ac:dyDescent="0.3">
      <c r="A48" s="9" t="s">
        <v>97</v>
      </c>
      <c r="B48" s="27">
        <v>0</v>
      </c>
      <c r="C48" s="23" t="s">
        <v>8</v>
      </c>
      <c r="D48" s="24">
        <f t="shared" si="0"/>
        <v>4.9169806580667497E-2</v>
      </c>
      <c r="E48" s="25"/>
      <c r="F48" s="4">
        <f>B14*B36*B32/100/SQRT(3)</f>
        <v>4.9169806580667497E-2</v>
      </c>
      <c r="G48" s="28" t="s">
        <v>105</v>
      </c>
      <c r="H48" s="4"/>
      <c r="I48" s="4"/>
      <c r="J48" s="4"/>
      <c r="K48" s="4"/>
      <c r="L48" s="4"/>
      <c r="M48" s="4"/>
      <c r="N48" s="4"/>
    </row>
    <row r="49" spans="1:16" ht="15.75" x14ac:dyDescent="0.3">
      <c r="A49" s="9" t="s">
        <v>98</v>
      </c>
      <c r="B49" s="27">
        <v>0</v>
      </c>
      <c r="C49" s="23" t="s">
        <v>8</v>
      </c>
      <c r="D49" s="24">
        <f t="shared" si="0"/>
        <v>2.3500578489357299E-2</v>
      </c>
      <c r="E49" s="25"/>
      <c r="F49" s="4">
        <f>(B35-B28)*B15/100*B32/SQRT(3)</f>
        <v>2.3500578489357299E-2</v>
      </c>
      <c r="G49" s="28" t="s">
        <v>106</v>
      </c>
      <c r="H49" s="4"/>
      <c r="I49" s="4"/>
      <c r="J49" s="4"/>
      <c r="K49" s="4"/>
      <c r="L49" s="4"/>
      <c r="M49" s="4"/>
      <c r="N49" s="4"/>
    </row>
    <row r="50" spans="1:16" ht="15.75" x14ac:dyDescent="0.3">
      <c r="A50" s="9" t="s">
        <v>99</v>
      </c>
      <c r="B50" s="27">
        <v>0</v>
      </c>
      <c r="C50" s="23" t="s">
        <v>8</v>
      </c>
      <c r="D50" s="24">
        <f t="shared" si="0"/>
        <v>6.4537687430523016E-2</v>
      </c>
      <c r="E50" s="25"/>
      <c r="F50" s="4">
        <f>(ABS(B16)+B17)*B37/SQRT(3)</f>
        <v>6.4537687430523016E-2</v>
      </c>
      <c r="G50" s="28" t="s">
        <v>127</v>
      </c>
      <c r="H50" s="4"/>
      <c r="I50" s="4"/>
      <c r="J50" s="4"/>
      <c r="K50" s="4"/>
      <c r="L50" s="4"/>
      <c r="M50" s="4"/>
      <c r="N50" s="4"/>
    </row>
    <row r="51" spans="1:16" x14ac:dyDescent="0.2">
      <c r="A51" s="9"/>
      <c r="B51" s="27"/>
      <c r="C51" s="23"/>
      <c r="D51" s="24"/>
      <c r="E51" s="25"/>
      <c r="G51" s="28"/>
    </row>
    <row r="52" spans="1:16" x14ac:dyDescent="0.2">
      <c r="A52" s="9"/>
      <c r="C52" s="23"/>
      <c r="D52" s="24"/>
      <c r="E52" s="29"/>
      <c r="G52" s="28"/>
    </row>
    <row r="53" spans="1:16" x14ac:dyDescent="0.2">
      <c r="A53" s="9"/>
      <c r="B53" s="27"/>
      <c r="C53" s="23"/>
      <c r="D53" s="24"/>
      <c r="E53" s="29"/>
      <c r="G53" s="28"/>
    </row>
    <row r="54" spans="1:16" ht="15" thickBot="1" x14ac:dyDescent="0.3">
      <c r="A54" s="17" t="s">
        <v>42</v>
      </c>
      <c r="B54" s="18" t="s">
        <v>4</v>
      </c>
      <c r="C54" s="19" t="s">
        <v>5</v>
      </c>
      <c r="D54" s="20" t="s">
        <v>43</v>
      </c>
      <c r="G54" s="9" t="s">
        <v>86</v>
      </c>
      <c r="H54" s="9" t="s">
        <v>87</v>
      </c>
      <c r="I54" s="9" t="s">
        <v>88</v>
      </c>
      <c r="J54" s="9" t="s">
        <v>89</v>
      </c>
      <c r="K54" s="9" t="s">
        <v>94</v>
      </c>
      <c r="L54" s="59" t="s">
        <v>49</v>
      </c>
      <c r="M54" s="9" t="s">
        <v>97</v>
      </c>
      <c r="N54" s="9" t="s">
        <v>98</v>
      </c>
      <c r="O54" s="9" t="s">
        <v>99</v>
      </c>
      <c r="P54" s="9"/>
    </row>
    <row r="55" spans="1:16" ht="14.25" x14ac:dyDescent="0.25">
      <c r="A55" s="9" t="s">
        <v>86</v>
      </c>
      <c r="B55" s="22">
        <f>B42</f>
        <v>0</v>
      </c>
      <c r="C55" s="23" t="s">
        <v>8</v>
      </c>
      <c r="D55" s="24">
        <f>D42</f>
        <v>2.0041623354076683E-2</v>
      </c>
      <c r="G55" s="30">
        <f>$B55+$D55</f>
        <v>2.0041623354076683E-2</v>
      </c>
      <c r="H55" s="1">
        <f t="shared" ref="H55:O55" si="1">$B55</f>
        <v>0</v>
      </c>
      <c r="I55" s="1">
        <f t="shared" si="1"/>
        <v>0</v>
      </c>
      <c r="J55" s="1">
        <f t="shared" si="1"/>
        <v>0</v>
      </c>
      <c r="K55" s="1">
        <f t="shared" si="1"/>
        <v>0</v>
      </c>
      <c r="L55" s="1">
        <f t="shared" si="1"/>
        <v>0</v>
      </c>
      <c r="M55" s="1">
        <f t="shared" si="1"/>
        <v>0</v>
      </c>
      <c r="N55" s="1">
        <f t="shared" si="1"/>
        <v>0</v>
      </c>
      <c r="O55" s="1">
        <f t="shared" si="1"/>
        <v>0</v>
      </c>
      <c r="P55" s="16"/>
    </row>
    <row r="56" spans="1:16" ht="14.25" x14ac:dyDescent="0.25">
      <c r="A56" s="9" t="s">
        <v>87</v>
      </c>
      <c r="B56" s="22">
        <f t="shared" ref="B56:B63" si="2">B43</f>
        <v>8.89</v>
      </c>
      <c r="C56" s="23" t="s">
        <v>8</v>
      </c>
      <c r="D56" s="24">
        <f t="shared" ref="D56:D63" si="3">D43</f>
        <v>2.0041623354076728E-2</v>
      </c>
      <c r="G56" s="1">
        <f t="shared" ref="G56:O63" si="4">$B56</f>
        <v>8.89</v>
      </c>
      <c r="H56" s="30">
        <f>$B56+$D56</f>
        <v>8.9100416233540773</v>
      </c>
      <c r="I56" s="1">
        <f t="shared" si="4"/>
        <v>8.89</v>
      </c>
      <c r="J56" s="1">
        <f t="shared" si="4"/>
        <v>8.89</v>
      </c>
      <c r="K56" s="1">
        <f t="shared" si="4"/>
        <v>8.89</v>
      </c>
      <c r="L56" s="1">
        <f t="shared" si="4"/>
        <v>8.89</v>
      </c>
      <c r="M56" s="1">
        <f t="shared" si="4"/>
        <v>8.89</v>
      </c>
      <c r="N56" s="1">
        <f t="shared" si="4"/>
        <v>8.89</v>
      </c>
      <c r="O56" s="1">
        <f t="shared" si="4"/>
        <v>8.89</v>
      </c>
      <c r="P56" s="16"/>
    </row>
    <row r="57" spans="1:16" ht="14.25" x14ac:dyDescent="0.25">
      <c r="A57" s="9" t="s">
        <v>88</v>
      </c>
      <c r="B57" s="22">
        <f t="shared" si="2"/>
        <v>0</v>
      </c>
      <c r="C57" s="23" t="s">
        <v>8</v>
      </c>
      <c r="D57" s="24">
        <f t="shared" si="3"/>
        <v>5.773502691896258E-3</v>
      </c>
      <c r="G57" s="1">
        <f t="shared" si="4"/>
        <v>0</v>
      </c>
      <c r="H57" s="1">
        <f t="shared" si="4"/>
        <v>0</v>
      </c>
      <c r="I57" s="30">
        <f>$B57+$D57</f>
        <v>5.773502691896258E-3</v>
      </c>
      <c r="J57" s="1">
        <f t="shared" si="4"/>
        <v>0</v>
      </c>
      <c r="K57" s="1">
        <f t="shared" si="4"/>
        <v>0</v>
      </c>
      <c r="L57" s="1">
        <f t="shared" si="4"/>
        <v>0</v>
      </c>
      <c r="M57" s="1">
        <f t="shared" si="4"/>
        <v>0</v>
      </c>
      <c r="N57" s="1">
        <f t="shared" si="4"/>
        <v>0</v>
      </c>
      <c r="O57" s="1">
        <f t="shared" si="4"/>
        <v>0</v>
      </c>
      <c r="P57" s="16"/>
    </row>
    <row r="58" spans="1:16" ht="14.25" x14ac:dyDescent="0.25">
      <c r="A58" s="9" t="s">
        <v>89</v>
      </c>
      <c r="B58" s="22">
        <f t="shared" si="2"/>
        <v>8.8906837598682564</v>
      </c>
      <c r="C58" s="23" t="s">
        <v>8</v>
      </c>
      <c r="D58" s="24">
        <f t="shared" si="3"/>
        <v>3.1E-2</v>
      </c>
      <c r="G58" s="1">
        <f t="shared" si="4"/>
        <v>8.8906837598682564</v>
      </c>
      <c r="H58" s="1">
        <f t="shared" si="4"/>
        <v>8.8906837598682564</v>
      </c>
      <c r="I58" s="1">
        <f t="shared" si="4"/>
        <v>8.8906837598682564</v>
      </c>
      <c r="J58" s="30">
        <f>$B58+$D58</f>
        <v>8.921683759868257</v>
      </c>
      <c r="K58" s="1">
        <f t="shared" si="4"/>
        <v>8.8906837598682564</v>
      </c>
      <c r="L58" s="1">
        <f t="shared" si="4"/>
        <v>8.8906837598682564</v>
      </c>
      <c r="M58" s="1">
        <f t="shared" si="4"/>
        <v>8.8906837598682564</v>
      </c>
      <c r="N58" s="1">
        <f t="shared" si="4"/>
        <v>8.8906837598682564</v>
      </c>
      <c r="O58" s="1">
        <f t="shared" si="4"/>
        <v>8.8906837598682564</v>
      </c>
      <c r="P58" s="16"/>
    </row>
    <row r="59" spans="1:16" ht="14.25" x14ac:dyDescent="0.25">
      <c r="A59" s="9" t="s">
        <v>94</v>
      </c>
      <c r="B59" s="22">
        <f t="shared" si="2"/>
        <v>11.654999999999999</v>
      </c>
      <c r="C59" s="23" t="s">
        <v>8</v>
      </c>
      <c r="D59" s="24">
        <f t="shared" si="3"/>
        <v>5.1269314921055138E-2</v>
      </c>
      <c r="E59" s="6"/>
      <c r="G59" s="1">
        <f t="shared" si="4"/>
        <v>11.654999999999999</v>
      </c>
      <c r="H59" s="1">
        <f t="shared" si="4"/>
        <v>11.654999999999999</v>
      </c>
      <c r="I59" s="1">
        <f t="shared" si="4"/>
        <v>11.654999999999999</v>
      </c>
      <c r="J59" s="1">
        <f t="shared" si="4"/>
        <v>11.654999999999999</v>
      </c>
      <c r="K59" s="30">
        <f>$B59+$D59</f>
        <v>11.706269314921055</v>
      </c>
      <c r="L59" s="1">
        <f t="shared" si="4"/>
        <v>11.654999999999999</v>
      </c>
      <c r="M59" s="1">
        <f t="shared" si="4"/>
        <v>11.654999999999999</v>
      </c>
      <c r="N59" s="1">
        <f t="shared" si="4"/>
        <v>11.654999999999999</v>
      </c>
      <c r="O59" s="1">
        <f t="shared" si="4"/>
        <v>11.654999999999999</v>
      </c>
      <c r="P59" s="16"/>
    </row>
    <row r="60" spans="1:16" x14ac:dyDescent="0.2">
      <c r="A60" s="59" t="s">
        <v>49</v>
      </c>
      <c r="B60" s="22">
        <f t="shared" si="2"/>
        <v>1.0016787990455063</v>
      </c>
      <c r="C60" s="23" t="s">
        <v>50</v>
      </c>
      <c r="D60" s="24">
        <f t="shared" si="3"/>
        <v>4.8462754041916705E-4</v>
      </c>
      <c r="G60" s="1">
        <f t="shared" si="4"/>
        <v>1.0016787990455063</v>
      </c>
      <c r="H60" s="1">
        <f t="shared" si="4"/>
        <v>1.0016787990455063</v>
      </c>
      <c r="I60" s="1">
        <f t="shared" si="4"/>
        <v>1.0016787990455063</v>
      </c>
      <c r="J60" s="1">
        <f t="shared" si="4"/>
        <v>1.0016787990455063</v>
      </c>
      <c r="K60" s="1">
        <f t="shared" si="4"/>
        <v>1.0016787990455063</v>
      </c>
      <c r="L60" s="30">
        <f>$B60+$D60</f>
        <v>1.0021634265859254</v>
      </c>
      <c r="M60" s="1">
        <f t="shared" si="4"/>
        <v>1.0016787990455063</v>
      </c>
      <c r="N60" s="1">
        <f t="shared" si="4"/>
        <v>1.0016787990455063</v>
      </c>
      <c r="O60" s="1">
        <f t="shared" si="4"/>
        <v>1.0016787990455063</v>
      </c>
      <c r="P60" s="16"/>
    </row>
    <row r="61" spans="1:16" ht="14.25" x14ac:dyDescent="0.25">
      <c r="A61" s="9" t="s">
        <v>97</v>
      </c>
      <c r="B61" s="22">
        <f t="shared" si="2"/>
        <v>0</v>
      </c>
      <c r="C61" s="23" t="s">
        <v>8</v>
      </c>
      <c r="D61" s="24">
        <f t="shared" si="3"/>
        <v>4.9169806580667497E-2</v>
      </c>
      <c r="G61" s="1">
        <f t="shared" si="4"/>
        <v>0</v>
      </c>
      <c r="H61" s="1">
        <f t="shared" si="4"/>
        <v>0</v>
      </c>
      <c r="I61" s="1">
        <f t="shared" si="4"/>
        <v>0</v>
      </c>
      <c r="J61" s="1">
        <f t="shared" si="4"/>
        <v>0</v>
      </c>
      <c r="K61" s="1">
        <f t="shared" si="4"/>
        <v>0</v>
      </c>
      <c r="L61" s="1">
        <f t="shared" si="4"/>
        <v>0</v>
      </c>
      <c r="M61" s="30">
        <f>$B61+$D61</f>
        <v>4.9169806580667497E-2</v>
      </c>
      <c r="N61" s="1">
        <f t="shared" si="4"/>
        <v>0</v>
      </c>
      <c r="O61" s="1">
        <f t="shared" si="4"/>
        <v>0</v>
      </c>
      <c r="P61" s="16"/>
    </row>
    <row r="62" spans="1:16" ht="14.25" x14ac:dyDescent="0.25">
      <c r="A62" s="9" t="s">
        <v>98</v>
      </c>
      <c r="B62" s="22">
        <f t="shared" si="2"/>
        <v>0</v>
      </c>
      <c r="C62" s="23" t="s">
        <v>8</v>
      </c>
      <c r="D62" s="24">
        <f t="shared" si="3"/>
        <v>2.3500578489357299E-2</v>
      </c>
      <c r="G62" s="1">
        <f t="shared" si="4"/>
        <v>0</v>
      </c>
      <c r="H62" s="1">
        <f t="shared" si="4"/>
        <v>0</v>
      </c>
      <c r="I62" s="1">
        <f t="shared" si="4"/>
        <v>0</v>
      </c>
      <c r="J62" s="1">
        <f t="shared" si="4"/>
        <v>0</v>
      </c>
      <c r="K62" s="1">
        <f t="shared" si="4"/>
        <v>0</v>
      </c>
      <c r="L62" s="1">
        <f t="shared" si="4"/>
        <v>0</v>
      </c>
      <c r="M62" s="1">
        <f t="shared" si="4"/>
        <v>0</v>
      </c>
      <c r="N62" s="30">
        <f>$B62+$D62</f>
        <v>2.3500578489357299E-2</v>
      </c>
      <c r="O62" s="1">
        <f t="shared" si="4"/>
        <v>0</v>
      </c>
      <c r="P62" s="16"/>
    </row>
    <row r="63" spans="1:16" ht="14.25" x14ac:dyDescent="0.25">
      <c r="A63" s="9" t="s">
        <v>99</v>
      </c>
      <c r="B63" s="22">
        <f t="shared" si="2"/>
        <v>0</v>
      </c>
      <c r="C63" s="23" t="s">
        <v>8</v>
      </c>
      <c r="D63" s="24">
        <f t="shared" si="3"/>
        <v>6.4537687430523016E-2</v>
      </c>
      <c r="G63" s="1">
        <f t="shared" si="4"/>
        <v>0</v>
      </c>
      <c r="H63" s="1">
        <f t="shared" si="4"/>
        <v>0</v>
      </c>
      <c r="I63" s="1">
        <f t="shared" si="4"/>
        <v>0</v>
      </c>
      <c r="J63" s="1">
        <f t="shared" si="4"/>
        <v>0</v>
      </c>
      <c r="K63" s="1">
        <f t="shared" si="4"/>
        <v>0</v>
      </c>
      <c r="L63" s="1">
        <f t="shared" si="4"/>
        <v>0</v>
      </c>
      <c r="M63" s="1">
        <f t="shared" si="4"/>
        <v>0</v>
      </c>
      <c r="N63" s="1">
        <f t="shared" si="4"/>
        <v>0</v>
      </c>
      <c r="O63" s="30">
        <f>$B63+$D63</f>
        <v>6.4537687430523016E-2</v>
      </c>
      <c r="P63" s="16"/>
    </row>
    <row r="64" spans="1:16" x14ac:dyDescent="0.2">
      <c r="A64" s="9"/>
      <c r="B64" s="22"/>
      <c r="C64" s="23"/>
      <c r="D64" s="24"/>
      <c r="P64" s="16"/>
    </row>
    <row r="65" spans="1:16" x14ac:dyDescent="0.2">
      <c r="P65" s="16"/>
    </row>
    <row r="66" spans="1:16" ht="15.75" x14ac:dyDescent="0.3">
      <c r="A66" s="4" t="s">
        <v>51</v>
      </c>
      <c r="B66" s="31">
        <f>(B59+B61+B62+B63)/B60/((B56-B55)/(B58-B57))-((B55*B58-B57*B56)/(B58-B57))/((B56-B55)/(B58-B57))</f>
        <v>11.636361313073536</v>
      </c>
      <c r="C66" s="23" t="s">
        <v>8</v>
      </c>
      <c r="E66" s="51"/>
      <c r="F66" s="51"/>
      <c r="G66" s="31">
        <f>(G59+G61+G62+G63)/G60/((G56-G55)/(G58-G57))-((G55*G58-G57*G56)/(G58-G57))/((G56-G55)/(G58-G57))</f>
        <v>11.642565156771154</v>
      </c>
      <c r="H66" s="31">
        <f t="shared" ref="H66:O66" si="5">(H59+H61+H62+H63)/H60/((H56-H55)/(H58-H57))-((H55*H58-H57*H56)/(H58-H57))/((H56-H55)/(H58-H57))</f>
        <v>11.610187297226371</v>
      </c>
      <c r="I66" s="31">
        <f t="shared" si="5"/>
        <v>11.634578303220451</v>
      </c>
      <c r="J66" s="31">
        <f t="shared" si="5"/>
        <v>11.676934930406951</v>
      </c>
      <c r="K66" s="31">
        <f t="shared" si="5"/>
        <v>11.687548638058107</v>
      </c>
      <c r="L66" s="31">
        <f t="shared" si="5"/>
        <v>11.630734185787725</v>
      </c>
      <c r="M66" s="31">
        <f t="shared" si="5"/>
        <v>11.685452487253425</v>
      </c>
      <c r="N66" s="31">
        <f t="shared" si="5"/>
        <v>11.659824309415741</v>
      </c>
      <c r="O66" s="31">
        <f t="shared" si="5"/>
        <v>11.700795791773816</v>
      </c>
      <c r="P66" s="16"/>
    </row>
    <row r="67" spans="1:16" ht="15.75" x14ac:dyDescent="0.3">
      <c r="A67" s="4" t="s">
        <v>52</v>
      </c>
      <c r="B67" s="32">
        <f>SQRT(O69)</f>
        <v>0.11016818395301275</v>
      </c>
      <c r="C67" s="4" t="s">
        <v>8</v>
      </c>
      <c r="G67" s="1">
        <f>G66-$B$66</f>
        <v>6.203843697617728E-3</v>
      </c>
      <c r="H67" s="1">
        <f t="shared" ref="H67:O67" si="6">H66-$B$66</f>
        <v>-2.6174015847164611E-2</v>
      </c>
      <c r="I67" s="1">
        <f t="shared" si="6"/>
        <v>-1.7830098530851046E-3</v>
      </c>
      <c r="J67" s="1">
        <f t="shared" si="6"/>
        <v>4.0573617333414802E-2</v>
      </c>
      <c r="K67" s="1">
        <f t="shared" si="6"/>
        <v>5.1187324984571347E-2</v>
      </c>
      <c r="L67" s="1">
        <f t="shared" si="6"/>
        <v>-5.627127285810829E-3</v>
      </c>
      <c r="M67" s="1">
        <f t="shared" si="6"/>
        <v>4.9091174179888952E-2</v>
      </c>
      <c r="N67" s="1">
        <f t="shared" si="6"/>
        <v>2.34629963422055E-2</v>
      </c>
      <c r="O67" s="1">
        <f t="shared" si="6"/>
        <v>6.443447870027974E-2</v>
      </c>
      <c r="P67" s="16"/>
    </row>
    <row r="68" spans="1:16" ht="15.75" x14ac:dyDescent="0.3">
      <c r="A68" s="33" t="s">
        <v>53</v>
      </c>
      <c r="B68" s="34">
        <f>B67*2</f>
        <v>0.22033636790602551</v>
      </c>
      <c r="C68" s="33" t="s">
        <v>54</v>
      </c>
      <c r="G68" s="1">
        <f>G67^2</f>
        <v>3.8487676624471207E-5</v>
      </c>
      <c r="H68" s="1">
        <f t="shared" ref="H68:O68" si="7">H67^2</f>
        <v>6.850791055676242E-4</v>
      </c>
      <c r="I68" s="1">
        <f t="shared" si="7"/>
        <v>3.1791241361985662E-6</v>
      </c>
      <c r="J68" s="1">
        <f t="shared" si="7"/>
        <v>1.646218423518378E-3</v>
      </c>
      <c r="K68" s="1">
        <f t="shared" si="7"/>
        <v>2.620142239076122E-3</v>
      </c>
      <c r="L68" s="1">
        <f t="shared" si="7"/>
        <v>3.1664561490716749E-5</v>
      </c>
      <c r="M68" s="1">
        <f t="shared" si="7"/>
        <v>2.4099433823601959E-3</v>
      </c>
      <c r="N68" s="1">
        <f t="shared" si="7"/>
        <v>5.5051219735434865E-4</v>
      </c>
      <c r="O68" s="1">
        <f t="shared" si="7"/>
        <v>4.1518020453768035E-3</v>
      </c>
      <c r="P68" s="16"/>
    </row>
    <row r="69" spans="1:16" ht="15.75" x14ac:dyDescent="0.3">
      <c r="A69" s="33" t="s">
        <v>70</v>
      </c>
      <c r="B69" s="88">
        <f>B68/B66*100</f>
        <v>1.8935160397475455</v>
      </c>
      <c r="C69" s="33" t="s">
        <v>71</v>
      </c>
      <c r="O69" s="1">
        <f>SUM(G68:O68)</f>
        <v>1.2137028755504858E-2</v>
      </c>
      <c r="P69" s="16"/>
    </row>
    <row r="70" spans="1:16" ht="15" x14ac:dyDescent="0.25">
      <c r="B70" s="4"/>
      <c r="E70" s="4" t="s">
        <v>55</v>
      </c>
      <c r="G70" s="89">
        <f t="shared" ref="G70:O70" si="8">G68/$O$69</f>
        <v>3.171095446817227E-3</v>
      </c>
      <c r="H70" s="89">
        <f t="shared" si="8"/>
        <v>5.6445372205030035E-2</v>
      </c>
      <c r="I70" s="89">
        <f t="shared" si="8"/>
        <v>2.6193594826548022E-4</v>
      </c>
      <c r="J70" s="89">
        <f t="shared" si="8"/>
        <v>0.13563603223496698</v>
      </c>
      <c r="K70" s="89">
        <f t="shared" si="8"/>
        <v>0.21588003883468868</v>
      </c>
      <c r="L70" s="89">
        <f t="shared" si="8"/>
        <v>2.6089220128406639E-3</v>
      </c>
      <c r="M70" s="89">
        <f t="shared" si="8"/>
        <v>0.19856123198745365</v>
      </c>
      <c r="N70" s="89">
        <f t="shared" si="8"/>
        <v>4.5358069791559069E-2</v>
      </c>
      <c r="O70" s="89">
        <f t="shared" si="8"/>
        <v>0.34207730153837829</v>
      </c>
      <c r="P70" s="54"/>
    </row>
    <row r="71" spans="1:16" x14ac:dyDescent="0.2">
      <c r="O71" s="52">
        <f>SUM(G70:O70)</f>
        <v>1.0000000000000002</v>
      </c>
      <c r="P71" s="16"/>
    </row>
  </sheetData>
  <mergeCells count="4">
    <mergeCell ref="A40:E40"/>
    <mergeCell ref="F40:K40"/>
    <mergeCell ref="F41:H41"/>
    <mergeCell ref="I41:K41"/>
  </mergeCells>
  <pageMargins left="0.7" right="0.7" top="0.75" bottom="0.75" header="0.3" footer="0.3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4337" r:id="rId4">
          <objectPr defaultSize="0" autoPict="0" r:id="rId5">
            <anchor moveWithCells="1" sizeWithCells="1">
              <from>
                <xdr:col>6</xdr:col>
                <xdr:colOff>161925</xdr:colOff>
                <xdr:row>2</xdr:row>
                <xdr:rowOff>85725</xdr:rowOff>
              </from>
              <to>
                <xdr:col>9</xdr:col>
                <xdr:colOff>190500</xdr:colOff>
                <xdr:row>5</xdr:row>
                <xdr:rowOff>57150</xdr:rowOff>
              </to>
            </anchor>
          </objectPr>
        </oleObject>
      </mc:Choice>
      <mc:Fallback>
        <oleObject progId="Equation.3" shapeId="14337" r:id="rId4"/>
      </mc:Fallback>
    </mc:AlternateContent>
    <mc:AlternateContent xmlns:mc="http://schemas.openxmlformats.org/markup-compatibility/2006">
      <mc:Choice Requires="x14">
        <oleObject progId="Equation.3" shapeId="14338" r:id="rId6">
          <objectPr defaultSize="0" autoPict="0" r:id="rId7">
            <anchor moveWithCells="1" sizeWithCells="1">
              <from>
                <xdr:col>9</xdr:col>
                <xdr:colOff>514350</xdr:colOff>
                <xdr:row>2</xdr:row>
                <xdr:rowOff>9525</xdr:rowOff>
              </from>
              <to>
                <xdr:col>12</xdr:col>
                <xdr:colOff>85725</xdr:colOff>
                <xdr:row>4</xdr:row>
                <xdr:rowOff>142875</xdr:rowOff>
              </to>
            </anchor>
          </objectPr>
        </oleObject>
      </mc:Choice>
      <mc:Fallback>
        <oleObject progId="Equation.3" shapeId="14338" r:id="rId6"/>
      </mc:Fallback>
    </mc:AlternateContent>
    <mc:AlternateContent xmlns:mc="http://schemas.openxmlformats.org/markup-compatibility/2006">
      <mc:Choice Requires="x14">
        <oleObject progId="Equation.3" shapeId="14339" r:id="rId8">
          <objectPr defaultSize="0" autoPict="0" r:id="rId9">
            <anchor moveWithCells="1" sizeWithCells="1">
              <from>
                <xdr:col>0</xdr:col>
                <xdr:colOff>533400</xdr:colOff>
                <xdr:row>2</xdr:row>
                <xdr:rowOff>57150</xdr:rowOff>
              </from>
              <to>
                <xdr:col>5</xdr:col>
                <xdr:colOff>381000</xdr:colOff>
                <xdr:row>5</xdr:row>
                <xdr:rowOff>28575</xdr:rowOff>
              </to>
            </anchor>
          </objectPr>
        </oleObject>
      </mc:Choice>
      <mc:Fallback>
        <oleObject progId="Equation.3" shapeId="14339" r:id="rId8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2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13.42578125" style="1" customWidth="1"/>
    <col min="3" max="3" width="9.140625" style="1"/>
    <col min="4" max="4" width="9.42578125" style="1" bestFit="1" customWidth="1"/>
    <col min="5" max="5" width="12.42578125" style="1" bestFit="1" customWidth="1"/>
    <col min="6" max="6" width="12.7109375" style="1" bestFit="1" customWidth="1"/>
    <col min="7" max="7" width="12.140625" style="1" bestFit="1" customWidth="1"/>
    <col min="8" max="22" width="9.140625" style="1"/>
    <col min="23" max="23" width="12.140625" style="1" customWidth="1"/>
    <col min="24" max="16384" width="9.140625" style="1"/>
  </cols>
  <sheetData>
    <row r="1" spans="1:13" ht="12.95" x14ac:dyDescent="0.3">
      <c r="A1" s="5" t="s">
        <v>188</v>
      </c>
    </row>
    <row r="2" spans="1:13" ht="12.95" x14ac:dyDescent="0.3">
      <c r="A2" s="5" t="s">
        <v>187</v>
      </c>
    </row>
    <row r="4" spans="1:13" ht="12.6" customHeight="1" x14ac:dyDescent="0.3">
      <c r="A4" s="5"/>
    </row>
    <row r="5" spans="1:13" ht="12.6" x14ac:dyDescent="0.25">
      <c r="A5" s="6"/>
    </row>
    <row r="6" spans="1:13" ht="12.6" x14ac:dyDescent="0.25">
      <c r="A6" s="4"/>
    </row>
    <row r="8" spans="1:13" s="2" customFormat="1" ht="18" x14ac:dyDescent="0.4">
      <c r="A8" s="7" t="s">
        <v>2</v>
      </c>
    </row>
    <row r="9" spans="1:13" s="36" customFormat="1" ht="11.45" x14ac:dyDescent="0.25">
      <c r="A9" s="36" t="s">
        <v>60</v>
      </c>
    </row>
    <row r="10" spans="1:13" s="36" customFormat="1" ht="14.45" customHeight="1" x14ac:dyDescent="0.4">
      <c r="A10" s="9" t="s">
        <v>78</v>
      </c>
      <c r="B10" s="39">
        <v>3.9025485336470337E-3</v>
      </c>
      <c r="C10" s="38" t="s">
        <v>8</v>
      </c>
      <c r="D10" s="38" t="s">
        <v>57</v>
      </c>
      <c r="E10" s="42"/>
    </row>
    <row r="11" spans="1:13" s="36" customFormat="1" ht="14.45" customHeight="1" x14ac:dyDescent="0.4">
      <c r="A11" s="9" t="s">
        <v>79</v>
      </c>
      <c r="B11" s="39">
        <v>4.913036844405071E-3</v>
      </c>
      <c r="C11" s="38" t="s">
        <v>8</v>
      </c>
      <c r="D11" s="38" t="s">
        <v>61</v>
      </c>
      <c r="E11" s="42"/>
    </row>
    <row r="12" spans="1:13" s="36" customFormat="1" ht="14.45" customHeight="1" x14ac:dyDescent="0.4">
      <c r="A12" s="9" t="s">
        <v>80</v>
      </c>
      <c r="B12" s="39">
        <v>6.8643950719533137E-2</v>
      </c>
      <c r="C12" s="38" t="s">
        <v>8</v>
      </c>
      <c r="D12" s="38" t="s">
        <v>58</v>
      </c>
      <c r="E12" s="38"/>
      <c r="F12" s="37"/>
      <c r="G12" s="37"/>
      <c r="K12" s="41"/>
      <c r="L12" s="41"/>
      <c r="M12" s="41"/>
    </row>
    <row r="13" spans="1:13" s="36" customFormat="1" ht="14.45" customHeight="1" x14ac:dyDescent="0.4">
      <c r="A13" s="9" t="s">
        <v>81</v>
      </c>
      <c r="B13" s="37">
        <v>3.1E-2</v>
      </c>
      <c r="C13" s="38" t="s">
        <v>8</v>
      </c>
      <c r="D13" s="55" t="s">
        <v>203</v>
      </c>
      <c r="E13" s="38"/>
      <c r="F13" s="37"/>
      <c r="G13" s="37"/>
    </row>
    <row r="14" spans="1:13" s="36" customFormat="1" ht="14.45" customHeight="1" x14ac:dyDescent="0.4">
      <c r="A14" s="9" t="s">
        <v>82</v>
      </c>
      <c r="B14" s="43">
        <v>-9.4244609374349484E-4</v>
      </c>
      <c r="C14" s="38" t="s">
        <v>122</v>
      </c>
      <c r="D14" s="38" t="s">
        <v>62</v>
      </c>
      <c r="E14" s="38"/>
      <c r="F14" s="37"/>
      <c r="G14" s="37"/>
    </row>
    <row r="15" spans="1:13" s="36" customFormat="1" ht="14.45" customHeight="1" x14ac:dyDescent="0.25">
      <c r="A15" s="9" t="s">
        <v>83</v>
      </c>
      <c r="B15" s="44">
        <v>2.436875013221735E-2</v>
      </c>
      <c r="C15" s="38" t="s">
        <v>63</v>
      </c>
      <c r="D15" s="38" t="s">
        <v>64</v>
      </c>
      <c r="E15" s="38"/>
      <c r="F15" s="37"/>
      <c r="G15" s="37"/>
    </row>
    <row r="16" spans="1:13" s="36" customFormat="1" ht="14.45" customHeight="1" x14ac:dyDescent="0.4">
      <c r="A16" s="72" t="s">
        <v>125</v>
      </c>
      <c r="B16" s="39">
        <v>-7.8995010564227898E-3</v>
      </c>
      <c r="C16" s="38" t="s">
        <v>8</v>
      </c>
      <c r="D16" s="38" t="s">
        <v>126</v>
      </c>
      <c r="E16" s="38"/>
      <c r="F16" s="37"/>
      <c r="G16" s="37"/>
    </row>
    <row r="17" spans="1:21" s="36" customFormat="1" ht="14.45" customHeight="1" x14ac:dyDescent="0.4">
      <c r="A17" s="72" t="s">
        <v>123</v>
      </c>
      <c r="B17" s="39">
        <v>8.493146873257047E-4</v>
      </c>
      <c r="C17" s="38" t="s">
        <v>8</v>
      </c>
      <c r="D17" s="38" t="s">
        <v>124</v>
      </c>
      <c r="E17" s="38"/>
      <c r="F17" s="37"/>
      <c r="G17" s="37"/>
    </row>
    <row r="18" spans="1:21" s="36" customFormat="1" ht="14.45" customHeight="1" x14ac:dyDescent="0.4">
      <c r="A18" s="9" t="s">
        <v>85</v>
      </c>
      <c r="B18" s="39">
        <v>2.7664860087933483E-2</v>
      </c>
      <c r="C18" s="38" t="s">
        <v>50</v>
      </c>
      <c r="D18" s="38" t="s">
        <v>65</v>
      </c>
      <c r="E18" s="37"/>
      <c r="F18" s="37"/>
      <c r="G18" s="37"/>
    </row>
    <row r="19" spans="1:21" s="36" customFormat="1" ht="14.45" customHeight="1" x14ac:dyDescent="0.25">
      <c r="A19" s="37"/>
      <c r="B19" s="37"/>
      <c r="C19" s="37"/>
      <c r="D19" s="37"/>
      <c r="E19" s="37"/>
      <c r="F19" s="37"/>
      <c r="G19" s="37"/>
    </row>
    <row r="20" spans="1:21" ht="12.95" x14ac:dyDescent="0.3">
      <c r="A20" s="2" t="s">
        <v>3</v>
      </c>
    </row>
    <row r="21" spans="1:21" ht="12.95" x14ac:dyDescent="0.3">
      <c r="A21" s="2"/>
      <c r="B21" s="2" t="s">
        <v>4</v>
      </c>
      <c r="C21" s="2" t="s">
        <v>5</v>
      </c>
      <c r="D21" s="2" t="s">
        <v>6</v>
      </c>
    </row>
    <row r="22" spans="1:21" ht="12.95" x14ac:dyDescent="0.3">
      <c r="A22" s="2" t="s">
        <v>7</v>
      </c>
      <c r="B22" s="8"/>
      <c r="C22" s="2"/>
      <c r="D22" s="2"/>
    </row>
    <row r="23" spans="1:21" ht="15" x14ac:dyDescent="0.4">
      <c r="A23" s="9" t="s">
        <v>86</v>
      </c>
      <c r="B23" s="10">
        <v>0</v>
      </c>
      <c r="C23" s="4" t="s">
        <v>8</v>
      </c>
      <c r="D23" s="4" t="s">
        <v>9</v>
      </c>
    </row>
    <row r="24" spans="1:21" ht="15" x14ac:dyDescent="0.4">
      <c r="A24" s="9" t="s">
        <v>87</v>
      </c>
      <c r="B24" s="10">
        <v>9.0299999999999994</v>
      </c>
      <c r="C24" s="4" t="s">
        <v>8</v>
      </c>
      <c r="D24" s="4" t="s">
        <v>10</v>
      </c>
      <c r="L24" s="4" t="s">
        <v>200</v>
      </c>
    </row>
    <row r="25" spans="1:21" ht="15" x14ac:dyDescent="0.4">
      <c r="A25" s="9" t="s">
        <v>88</v>
      </c>
      <c r="B25" s="8">
        <v>0</v>
      </c>
      <c r="C25" s="4" t="s">
        <v>8</v>
      </c>
      <c r="D25" s="4" t="s">
        <v>72</v>
      </c>
      <c r="L25" s="4" t="s">
        <v>12</v>
      </c>
      <c r="M25" s="1">
        <v>8.0000000000000002E-3</v>
      </c>
      <c r="Q25" s="35"/>
      <c r="R25" s="35"/>
      <c r="S25" s="35"/>
      <c r="T25" s="35"/>
      <c r="U25" s="35"/>
    </row>
    <row r="26" spans="1:21" ht="15" x14ac:dyDescent="0.25">
      <c r="A26" s="9" t="s">
        <v>89</v>
      </c>
      <c r="B26" s="11">
        <f>(EXP(-139.3441+157570.1/(B27+273.15)+(-66423080/(B27+273.15)^2)+(12438000000/(B27+273.15)^3)+(-862194900000/(B27+273.15)^4)))*(B28-101325*(EXP((((-216961*(1/(B27+273.15)))-3840.7)*(1/(B27+273.15))+11.8571))))/(101325-101325*(EXP((((-216961*(1/(B27+273.15)))-3840.7)*(1/(B27+273.15))+11.8571))))</f>
        <v>8.9792439550701673</v>
      </c>
      <c r="C26" s="4" t="s">
        <v>8</v>
      </c>
      <c r="D26" s="4" t="s">
        <v>198</v>
      </c>
      <c r="L26" s="4" t="s">
        <v>15</v>
      </c>
      <c r="M26" s="1">
        <v>-0.16919999999999999</v>
      </c>
      <c r="O26" s="4" t="s">
        <v>75</v>
      </c>
      <c r="Q26" s="35"/>
      <c r="R26" s="35"/>
      <c r="S26" s="35"/>
      <c r="T26" s="35"/>
      <c r="U26" s="35"/>
    </row>
    <row r="27" spans="1:21" ht="15.75" x14ac:dyDescent="0.3">
      <c r="A27" s="8" t="s">
        <v>90</v>
      </c>
      <c r="B27" s="10">
        <v>19.908999999999999</v>
      </c>
      <c r="C27" s="4" t="s">
        <v>13</v>
      </c>
      <c r="D27" s="4" t="s">
        <v>14</v>
      </c>
      <c r="L27" s="4" t="s">
        <v>17</v>
      </c>
      <c r="M27" s="1">
        <v>25.385100000000001</v>
      </c>
      <c r="O27" s="1">
        <f>42.914*1.25608904610271</f>
        <v>53.903805324451703</v>
      </c>
      <c r="P27" s="1" t="s">
        <v>11</v>
      </c>
    </row>
    <row r="28" spans="1:21" ht="15.95" x14ac:dyDescent="0.4">
      <c r="A28" s="8" t="s">
        <v>91</v>
      </c>
      <c r="B28" s="12">
        <v>99915</v>
      </c>
      <c r="C28" s="4" t="s">
        <v>1</v>
      </c>
      <c r="D28" s="4" t="s">
        <v>16</v>
      </c>
      <c r="L28" s="4" t="s">
        <v>19</v>
      </c>
      <c r="M28" s="1">
        <v>14.094099999999999</v>
      </c>
      <c r="O28" s="35" t="s">
        <v>76</v>
      </c>
      <c r="P28" s="35"/>
    </row>
    <row r="29" spans="1:21" ht="15.75" x14ac:dyDescent="0.3">
      <c r="A29" s="8" t="s">
        <v>92</v>
      </c>
      <c r="B29" s="10">
        <v>20.100000000000001</v>
      </c>
      <c r="C29" s="4" t="s">
        <v>13</v>
      </c>
      <c r="D29" s="4" t="s">
        <v>18</v>
      </c>
      <c r="L29" s="4" t="s">
        <v>21</v>
      </c>
      <c r="M29" s="1">
        <v>-7.0260999999999996</v>
      </c>
      <c r="O29" s="56" t="s">
        <v>73</v>
      </c>
      <c r="P29" s="35" t="s">
        <v>56</v>
      </c>
    </row>
    <row r="30" spans="1:21" ht="15.75" x14ac:dyDescent="0.3">
      <c r="A30" s="8" t="s">
        <v>93</v>
      </c>
      <c r="B30" s="10">
        <v>100100</v>
      </c>
      <c r="C30" s="4" t="s">
        <v>1</v>
      </c>
      <c r="D30" s="4" t="s">
        <v>20</v>
      </c>
      <c r="L30" s="4" t="s">
        <v>22</v>
      </c>
      <c r="M30" s="1">
        <v>2.7081</v>
      </c>
      <c r="O30" s="56" t="s">
        <v>201</v>
      </c>
      <c r="P30" s="35" t="s">
        <v>74</v>
      </c>
    </row>
    <row r="31" spans="1:21" ht="12.6" x14ac:dyDescent="0.25">
      <c r="A31" s="46"/>
      <c r="B31" s="47"/>
      <c r="C31" s="6"/>
      <c r="D31" s="48"/>
      <c r="L31" s="4" t="s">
        <v>24</v>
      </c>
      <c r="M31" s="1">
        <v>5.0000000000000001E-4</v>
      </c>
    </row>
    <row r="32" spans="1:21" ht="12.95" x14ac:dyDescent="0.3">
      <c r="A32" s="2" t="s">
        <v>23</v>
      </c>
      <c r="B32" s="2"/>
      <c r="C32" s="2"/>
      <c r="D32" s="2"/>
      <c r="F32" s="4" t="s">
        <v>55</v>
      </c>
      <c r="L32" s="4" t="s">
        <v>26</v>
      </c>
      <c r="M32" s="1">
        <v>-5.5999999999999999E-3</v>
      </c>
    </row>
    <row r="33" spans="1:14" ht="15" x14ac:dyDescent="0.4">
      <c r="A33" s="9" t="s">
        <v>94</v>
      </c>
      <c r="B33" s="13">
        <v>11.95</v>
      </c>
      <c r="C33" s="4" t="s">
        <v>8</v>
      </c>
      <c r="D33" s="4" t="s">
        <v>25</v>
      </c>
      <c r="E33" s="2"/>
      <c r="L33" s="4" t="s">
        <v>29</v>
      </c>
      <c r="M33" s="1">
        <v>-6.6E-3</v>
      </c>
    </row>
    <row r="34" spans="1:14" ht="12.6" x14ac:dyDescent="0.25">
      <c r="A34" s="58" t="s">
        <v>27</v>
      </c>
      <c r="B34" s="14">
        <v>0.55800000000000005</v>
      </c>
      <c r="C34" s="4" t="s">
        <v>11</v>
      </c>
      <c r="D34" s="4" t="s">
        <v>28</v>
      </c>
      <c r="L34" s="4" t="s">
        <v>31</v>
      </c>
      <c r="M34" s="1">
        <v>-3.7499999999999999E-2</v>
      </c>
    </row>
    <row r="35" spans="1:14" ht="12.95" x14ac:dyDescent="0.3">
      <c r="A35" s="8" t="s">
        <v>0</v>
      </c>
      <c r="B35" s="74">
        <f>M25+M26*(B34/O27)^0.5+M27*(B34/O27)+M28*(B34/O27)^1.5+M29*(B34/O27)^2+M30*(B34/O27)^2.5+((10/(1+0.0162*10))*(M31+M32*(B34/O27)^0.5+M33*(B34/O27)+M34*(B34/O27)^1.5+M35*(B34/O27)^2+M36*(B34/O27)^2.5))-(M25/(1+1.5*M37*(B34/O27)+(400*(B34/O27))^2))-(M31*(10/(1+0.0162*10))/(1+(M38*(B34/O27))^0.5+(M38*(B34/O27))^1.5))</f>
        <v>0.26448599037258497</v>
      </c>
      <c r="C35" s="4" t="s">
        <v>30</v>
      </c>
      <c r="D35" s="4" t="s">
        <v>199</v>
      </c>
      <c r="L35" s="4" t="s">
        <v>33</v>
      </c>
      <c r="M35" s="1">
        <v>6.3600000000000004E-2</v>
      </c>
    </row>
    <row r="36" spans="1:14" ht="15.75" x14ac:dyDescent="0.3">
      <c r="A36" s="8" t="s">
        <v>95</v>
      </c>
      <c r="B36" s="13">
        <v>19.2</v>
      </c>
      <c r="C36" s="4" t="s">
        <v>13</v>
      </c>
      <c r="D36" s="4" t="s">
        <v>32</v>
      </c>
      <c r="L36" s="4" t="s">
        <v>34</v>
      </c>
      <c r="M36" s="1">
        <v>-1.44E-2</v>
      </c>
    </row>
    <row r="37" spans="1:14" ht="14.25" x14ac:dyDescent="0.25">
      <c r="A37" s="9" t="s">
        <v>96</v>
      </c>
      <c r="B37" s="13">
        <v>50</v>
      </c>
      <c r="C37" s="4" t="s">
        <v>59</v>
      </c>
      <c r="D37" s="4" t="s">
        <v>66</v>
      </c>
      <c r="L37" s="4" t="s">
        <v>37</v>
      </c>
      <c r="M37" s="1">
        <v>400</v>
      </c>
      <c r="N37" s="4" t="s">
        <v>38</v>
      </c>
    </row>
    <row r="38" spans="1:14" x14ac:dyDescent="0.2">
      <c r="A38" s="9" t="s">
        <v>35</v>
      </c>
      <c r="B38" s="13">
        <v>0</v>
      </c>
      <c r="C38" s="4"/>
      <c r="D38" s="4" t="s">
        <v>36</v>
      </c>
      <c r="L38" s="4" t="s">
        <v>39</v>
      </c>
      <c r="M38" s="1">
        <v>100</v>
      </c>
      <c r="N38" s="4" t="s">
        <v>38</v>
      </c>
    </row>
    <row r="39" spans="1:14" x14ac:dyDescent="0.2">
      <c r="A39" s="9"/>
      <c r="B39" s="15"/>
      <c r="C39" s="4"/>
      <c r="D39" s="4"/>
    </row>
    <row r="40" spans="1:14" ht="13.5" thickBot="1" x14ac:dyDescent="0.25">
      <c r="A40" s="9"/>
      <c r="C40" s="4"/>
      <c r="D40" s="4"/>
    </row>
    <row r="41" spans="1:14" ht="13.5" thickBot="1" x14ac:dyDescent="0.25">
      <c r="A41" s="117" t="s">
        <v>40</v>
      </c>
      <c r="B41" s="118"/>
      <c r="C41" s="118"/>
      <c r="D41" s="118"/>
      <c r="E41" s="119"/>
      <c r="F41" s="117" t="s">
        <v>41</v>
      </c>
      <c r="G41" s="118"/>
      <c r="H41" s="118"/>
      <c r="I41" s="118"/>
      <c r="J41" s="118"/>
      <c r="K41" s="119"/>
      <c r="L41" s="49"/>
      <c r="M41" s="49"/>
      <c r="N41" s="49"/>
    </row>
    <row r="42" spans="1:14" ht="15" thickBot="1" x14ac:dyDescent="0.3">
      <c r="A42" s="17" t="s">
        <v>42</v>
      </c>
      <c r="B42" s="18" t="s">
        <v>4</v>
      </c>
      <c r="C42" s="19" t="s">
        <v>5</v>
      </c>
      <c r="D42" s="20" t="s">
        <v>43</v>
      </c>
      <c r="E42" s="21" t="s">
        <v>44</v>
      </c>
      <c r="F42" s="120" t="s">
        <v>45</v>
      </c>
      <c r="G42" s="121"/>
      <c r="H42" s="121"/>
      <c r="I42" s="120" t="s">
        <v>46</v>
      </c>
      <c r="J42" s="121"/>
      <c r="K42" s="122"/>
      <c r="L42" s="49"/>
      <c r="M42" s="49"/>
      <c r="N42" s="49"/>
    </row>
    <row r="43" spans="1:14" ht="14.25" x14ac:dyDescent="0.25">
      <c r="A43" s="9" t="s">
        <v>86</v>
      </c>
      <c r="B43" s="22">
        <f>B23</f>
        <v>0</v>
      </c>
      <c r="C43" s="23" t="s">
        <v>8</v>
      </c>
      <c r="D43" s="24">
        <f>SQRT(SUMSQ(F43,I43))</f>
        <v>5.6983562864930679E-3</v>
      </c>
      <c r="E43" s="25"/>
      <c r="F43" s="4">
        <f>0.005/SQRT(3)</f>
        <v>2.886751345948129E-3</v>
      </c>
      <c r="G43" s="9" t="s">
        <v>101</v>
      </c>
      <c r="H43" s="4" t="s">
        <v>47</v>
      </c>
      <c r="I43" s="40">
        <f>B11</f>
        <v>4.913036844405071E-3</v>
      </c>
      <c r="J43" s="9" t="s">
        <v>78</v>
      </c>
      <c r="K43" s="4" t="s">
        <v>67</v>
      </c>
      <c r="L43" s="22"/>
      <c r="M43" s="22"/>
      <c r="N43" s="22"/>
    </row>
    <row r="44" spans="1:14" ht="14.25" x14ac:dyDescent="0.25">
      <c r="A44" s="9" t="s">
        <v>87</v>
      </c>
      <c r="B44" s="22">
        <f>B24</f>
        <v>9.0299999999999994</v>
      </c>
      <c r="C44" s="23" t="s">
        <v>8</v>
      </c>
      <c r="D44" s="24">
        <f t="shared" ref="D44" si="0">SQRT(SUMSQ(F44,I44))</f>
        <v>4.8541959571904332E-3</v>
      </c>
      <c r="E44" s="25">
        <f>D44/B44</f>
        <v>5.3756322892474344E-4</v>
      </c>
      <c r="F44" s="4">
        <f>0.005/SQRT(3)</f>
        <v>2.886751345948129E-3</v>
      </c>
      <c r="G44" s="9" t="s">
        <v>102</v>
      </c>
      <c r="H44" s="4" t="s">
        <v>47</v>
      </c>
      <c r="I44" s="40">
        <f>B10</f>
        <v>3.9025485336470337E-3</v>
      </c>
      <c r="J44" s="9" t="s">
        <v>79</v>
      </c>
      <c r="K44" s="4" t="s">
        <v>67</v>
      </c>
      <c r="L44" s="22"/>
      <c r="M44" s="22"/>
      <c r="N44" s="22"/>
    </row>
    <row r="45" spans="1:14" ht="14.25" x14ac:dyDescent="0.25">
      <c r="A45" s="9" t="s">
        <v>88</v>
      </c>
      <c r="B45" s="22">
        <f>B25</f>
        <v>0</v>
      </c>
      <c r="C45" s="23" t="s">
        <v>8</v>
      </c>
      <c r="D45" s="24">
        <f>SQRT(SUMSQ(F45))</f>
        <v>5.773502691896258E-3</v>
      </c>
      <c r="E45" s="25"/>
      <c r="F45" s="1">
        <f>0.01/SQRT(3)</f>
        <v>5.773502691896258E-3</v>
      </c>
      <c r="G45" s="9" t="s">
        <v>103</v>
      </c>
      <c r="H45" s="22" t="s">
        <v>48</v>
      </c>
      <c r="I45" s="22"/>
      <c r="J45" s="22"/>
      <c r="K45" s="22"/>
      <c r="L45" s="22"/>
      <c r="M45" s="22"/>
      <c r="N45" s="22"/>
    </row>
    <row r="46" spans="1:14" ht="14.25" x14ac:dyDescent="0.25">
      <c r="A46" s="9" t="s">
        <v>89</v>
      </c>
      <c r="B46" s="26">
        <f>B26</f>
        <v>8.9792439550701673</v>
      </c>
      <c r="C46" s="23" t="s">
        <v>8</v>
      </c>
      <c r="D46" s="24">
        <f>SQRT(SUMSQ(F46))</f>
        <v>3.1E-2</v>
      </c>
      <c r="E46" s="25">
        <f>D46/B46</f>
        <v>3.4524064782197749E-3</v>
      </c>
      <c r="F46" s="22">
        <f>B13</f>
        <v>3.1E-2</v>
      </c>
      <c r="G46" s="9" t="s">
        <v>81</v>
      </c>
      <c r="H46" s="57" t="s">
        <v>202</v>
      </c>
      <c r="I46" s="22"/>
      <c r="J46" s="22"/>
      <c r="K46" s="22"/>
      <c r="L46" s="22"/>
      <c r="M46" s="22"/>
      <c r="N46" s="22"/>
    </row>
    <row r="47" spans="1:14" ht="14.25" x14ac:dyDescent="0.25">
      <c r="A47" s="9" t="s">
        <v>94</v>
      </c>
      <c r="B47" s="26">
        <f>B33</f>
        <v>11.95</v>
      </c>
      <c r="C47" s="23" t="s">
        <v>8</v>
      </c>
      <c r="D47" s="24">
        <f>SQRT(SUMSQ(F47,I47))</f>
        <v>6.8704623597826572E-2</v>
      </c>
      <c r="E47" s="25">
        <f>D47/B47</f>
        <v>5.7493408868474118E-3</v>
      </c>
      <c r="F47" s="4">
        <f>0.005/SQRT(3)</f>
        <v>2.886751345948129E-3</v>
      </c>
      <c r="G47" s="9" t="s">
        <v>104</v>
      </c>
      <c r="H47" s="4" t="s">
        <v>47</v>
      </c>
      <c r="I47" s="40">
        <f>B12</f>
        <v>6.8643950719533137E-2</v>
      </c>
      <c r="J47" s="50" t="s">
        <v>80</v>
      </c>
      <c r="K47" s="4" t="s">
        <v>68</v>
      </c>
      <c r="L47" s="4"/>
      <c r="M47" s="4"/>
      <c r="N47" s="4"/>
    </row>
    <row r="48" spans="1:14" ht="15.75" x14ac:dyDescent="0.3">
      <c r="A48" s="59" t="s">
        <v>49</v>
      </c>
      <c r="B48" s="15">
        <f>(EXP(-139.3441+157570.1/(B36+273.15)+(-66423080/(B36+273.15)^2)+(12438000000/(B36+273.15)^3)+(-862194900000/(B36+273.15)^4)))*($B$28-101325*(EXP((((-216961*(1/(B36+273.15)))-3840.7)*(1/(B36+273.15))+11.8571))))/(101325-101325*(EXP((((-216961*(1/(B36+273.15)))-3840.7)*(1/(B36+273.15))+11.8571))))/((EXP(-139.3441+157570.1/(B36+273.15)+(-66423080/(B36+273.15)^2)+(12438000000/(B36+273.15)^3)+(-862194900000/(B36+273.15)^4)))*($B$28-101325*(EXP((((-216961*(1/(B36+273.15)))-3840.7)*(1/(B36+273.15))+11.8571))))/(101325-101325*(EXP((((-216961*(1/(B36+273.15)))-3840.7)*(1/(B36+273.15))+11.8571))))*EXP(-B35*(0.017674-10.754/(B36+273.15)+2140.7/((B36+273.15)^2))))</f>
        <v>1.0015712145309938</v>
      </c>
      <c r="C48" s="23" t="s">
        <v>50</v>
      </c>
      <c r="D48" s="24">
        <f>SQRT(SUMSQ(F48))</f>
        <v>4.5357056621197475E-4</v>
      </c>
      <c r="E48" s="25">
        <f>D48/B48</f>
        <v>4.5285902752743189E-4</v>
      </c>
      <c r="F48" s="4">
        <f>(B48-1)*0.5/SQRT(3)</f>
        <v>4.5357056621197475E-4</v>
      </c>
      <c r="G48" s="28" t="s">
        <v>69</v>
      </c>
      <c r="H48" s="4"/>
      <c r="I48" s="4"/>
      <c r="J48" s="4"/>
      <c r="K48" s="4"/>
      <c r="L48" s="4"/>
      <c r="M48" s="4"/>
      <c r="N48" s="4"/>
    </row>
    <row r="49" spans="1:16" ht="15.75" x14ac:dyDescent="0.3">
      <c r="A49" s="9" t="s">
        <v>97</v>
      </c>
      <c r="B49" s="27">
        <v>0</v>
      </c>
      <c r="C49" s="23" t="s">
        <v>8</v>
      </c>
      <c r="D49" s="24">
        <f t="shared" ref="D49:D52" si="1">SQRT(SUMSQ(F49))</f>
        <v>3.2511259978691203E-3</v>
      </c>
      <c r="E49" s="25"/>
      <c r="F49" s="4">
        <f>ABS(B14)*B37*B33/100/SQRT(3)</f>
        <v>3.2511259978691203E-3</v>
      </c>
      <c r="G49" s="28" t="s">
        <v>105</v>
      </c>
      <c r="H49" s="4"/>
      <c r="I49" s="4"/>
      <c r="J49" s="4"/>
      <c r="K49" s="4"/>
      <c r="L49" s="4"/>
      <c r="M49" s="4"/>
      <c r="N49" s="4"/>
    </row>
    <row r="50" spans="1:16" ht="15.75" x14ac:dyDescent="0.3">
      <c r="A50" s="9" t="s">
        <v>98</v>
      </c>
      <c r="B50" s="27">
        <v>0</v>
      </c>
      <c r="C50" s="23" t="s">
        <v>8</v>
      </c>
      <c r="D50" s="24">
        <f t="shared" si="1"/>
        <v>1.5131536934523558E-3</v>
      </c>
      <c r="E50" s="25"/>
      <c r="F50" s="4">
        <f>ABS(B36-B29)*B15/100*B33/SQRT(3)</f>
        <v>1.5131536934523558E-3</v>
      </c>
      <c r="G50" s="28" t="s">
        <v>106</v>
      </c>
      <c r="H50" s="4"/>
      <c r="I50" s="4"/>
      <c r="J50" s="4"/>
      <c r="K50" s="4"/>
      <c r="L50" s="4"/>
      <c r="M50" s="4"/>
      <c r="N50" s="4"/>
    </row>
    <row r="51" spans="1:16" ht="15.75" x14ac:dyDescent="0.3">
      <c r="A51" s="9" t="s">
        <v>99</v>
      </c>
      <c r="B51" s="27">
        <v>0</v>
      </c>
      <c r="C51" s="23" t="s">
        <v>8</v>
      </c>
      <c r="D51" s="24">
        <f t="shared" si="1"/>
        <v>0</v>
      </c>
      <c r="E51" s="25"/>
      <c r="F51" s="4">
        <f>(ABS(B16)+B17)*B38/SQRT(3)</f>
        <v>0</v>
      </c>
      <c r="G51" s="28" t="s">
        <v>127</v>
      </c>
      <c r="H51" s="4"/>
      <c r="I51" s="4"/>
      <c r="J51" s="4"/>
      <c r="K51" s="4"/>
      <c r="L51" s="4"/>
      <c r="M51" s="4"/>
      <c r="N51" s="4"/>
    </row>
    <row r="52" spans="1:16" ht="15.75" x14ac:dyDescent="0.3">
      <c r="A52" s="9" t="s">
        <v>100</v>
      </c>
      <c r="B52" s="27">
        <v>0</v>
      </c>
      <c r="C52" s="23" t="s">
        <v>8</v>
      </c>
      <c r="D52" s="24">
        <f t="shared" si="1"/>
        <v>1.5173698697918634E-2</v>
      </c>
      <c r="E52" s="25"/>
      <c r="F52" s="1">
        <f>IF(B33&lt;11,(0),((B33-11)*B18))/SQRT(3)</f>
        <v>1.5173698697918634E-2</v>
      </c>
      <c r="G52" s="28" t="s">
        <v>108</v>
      </c>
    </row>
    <row r="53" spans="1:16" x14ac:dyDescent="0.2">
      <c r="A53" s="9"/>
      <c r="C53" s="23"/>
      <c r="D53" s="24"/>
      <c r="E53" s="29"/>
      <c r="G53" s="28"/>
    </row>
    <row r="54" spans="1:16" x14ac:dyDescent="0.2">
      <c r="A54" s="9"/>
      <c r="B54" s="27"/>
      <c r="C54" s="23"/>
      <c r="D54" s="24"/>
      <c r="E54" s="29"/>
      <c r="G54" s="28"/>
    </row>
    <row r="55" spans="1:16" ht="15" thickBot="1" x14ac:dyDescent="0.3">
      <c r="A55" s="17" t="s">
        <v>42</v>
      </c>
      <c r="B55" s="18" t="s">
        <v>4</v>
      </c>
      <c r="C55" s="19" t="s">
        <v>5</v>
      </c>
      <c r="D55" s="20" t="s">
        <v>43</v>
      </c>
      <c r="G55" s="9" t="s">
        <v>86</v>
      </c>
      <c r="H55" s="9" t="s">
        <v>87</v>
      </c>
      <c r="I55" s="9" t="s">
        <v>88</v>
      </c>
      <c r="J55" s="9" t="s">
        <v>89</v>
      </c>
      <c r="K55" s="9" t="s">
        <v>94</v>
      </c>
      <c r="L55" s="59" t="s">
        <v>49</v>
      </c>
      <c r="M55" s="9" t="s">
        <v>97</v>
      </c>
      <c r="N55" s="9" t="s">
        <v>98</v>
      </c>
      <c r="O55" s="9" t="s">
        <v>99</v>
      </c>
      <c r="P55" s="9" t="s">
        <v>100</v>
      </c>
    </row>
    <row r="56" spans="1:16" ht="14.25" x14ac:dyDescent="0.25">
      <c r="A56" s="9" t="s">
        <v>86</v>
      </c>
      <c r="B56" s="22">
        <f>B43</f>
        <v>0</v>
      </c>
      <c r="C56" s="23" t="s">
        <v>8</v>
      </c>
      <c r="D56" s="24">
        <f>D43</f>
        <v>5.6983562864930679E-3</v>
      </c>
      <c r="G56" s="30">
        <f>$B56+$D56</f>
        <v>5.6983562864930679E-3</v>
      </c>
      <c r="H56" s="1">
        <f t="shared" ref="H56:P56" si="2">$B56</f>
        <v>0</v>
      </c>
      <c r="I56" s="1">
        <f t="shared" si="2"/>
        <v>0</v>
      </c>
      <c r="J56" s="1">
        <f t="shared" si="2"/>
        <v>0</v>
      </c>
      <c r="K56" s="1">
        <f t="shared" si="2"/>
        <v>0</v>
      </c>
      <c r="L56" s="1">
        <f t="shared" si="2"/>
        <v>0</v>
      </c>
      <c r="M56" s="1">
        <f t="shared" si="2"/>
        <v>0</v>
      </c>
      <c r="N56" s="1">
        <f t="shared" si="2"/>
        <v>0</v>
      </c>
      <c r="O56" s="1">
        <f t="shared" si="2"/>
        <v>0</v>
      </c>
      <c r="P56" s="1">
        <f t="shared" si="2"/>
        <v>0</v>
      </c>
    </row>
    <row r="57" spans="1:16" ht="14.25" x14ac:dyDescent="0.25">
      <c r="A57" s="9" t="s">
        <v>87</v>
      </c>
      <c r="B57" s="22">
        <f t="shared" ref="B57:B65" si="3">B44</f>
        <v>9.0299999999999994</v>
      </c>
      <c r="C57" s="23" t="s">
        <v>8</v>
      </c>
      <c r="D57" s="24">
        <f t="shared" ref="D57:D65" si="4">D44</f>
        <v>4.8541959571904332E-3</v>
      </c>
      <c r="G57" s="1">
        <f t="shared" ref="G57:P65" si="5">$B57</f>
        <v>9.0299999999999994</v>
      </c>
      <c r="H57" s="30">
        <f>$B57+$D57</f>
        <v>9.0348541959571893</v>
      </c>
      <c r="I57" s="1">
        <f t="shared" si="5"/>
        <v>9.0299999999999994</v>
      </c>
      <c r="J57" s="1">
        <f t="shared" si="5"/>
        <v>9.0299999999999994</v>
      </c>
      <c r="K57" s="1">
        <f t="shared" si="5"/>
        <v>9.0299999999999994</v>
      </c>
      <c r="L57" s="1">
        <f t="shared" si="5"/>
        <v>9.0299999999999994</v>
      </c>
      <c r="M57" s="1">
        <f t="shared" si="5"/>
        <v>9.0299999999999994</v>
      </c>
      <c r="N57" s="1">
        <f t="shared" si="5"/>
        <v>9.0299999999999994</v>
      </c>
      <c r="O57" s="1">
        <f t="shared" si="5"/>
        <v>9.0299999999999994</v>
      </c>
      <c r="P57" s="1">
        <f t="shared" si="5"/>
        <v>9.0299999999999994</v>
      </c>
    </row>
    <row r="58" spans="1:16" ht="14.25" x14ac:dyDescent="0.25">
      <c r="A58" s="9" t="s">
        <v>88</v>
      </c>
      <c r="B58" s="22">
        <f t="shared" si="3"/>
        <v>0</v>
      </c>
      <c r="C58" s="23" t="s">
        <v>8</v>
      </c>
      <c r="D58" s="24">
        <f t="shared" si="4"/>
        <v>5.773502691896258E-3</v>
      </c>
      <c r="G58" s="1">
        <f t="shared" si="5"/>
        <v>0</v>
      </c>
      <c r="H58" s="1">
        <f t="shared" si="5"/>
        <v>0</v>
      </c>
      <c r="I58" s="30">
        <f>$B58+$D58</f>
        <v>5.773502691896258E-3</v>
      </c>
      <c r="J58" s="1">
        <f t="shared" si="5"/>
        <v>0</v>
      </c>
      <c r="K58" s="1">
        <f t="shared" si="5"/>
        <v>0</v>
      </c>
      <c r="L58" s="1">
        <f t="shared" si="5"/>
        <v>0</v>
      </c>
      <c r="M58" s="1">
        <f t="shared" si="5"/>
        <v>0</v>
      </c>
      <c r="N58" s="1">
        <f t="shared" si="5"/>
        <v>0</v>
      </c>
      <c r="O58" s="1">
        <f t="shared" si="5"/>
        <v>0</v>
      </c>
      <c r="P58" s="1">
        <f t="shared" si="5"/>
        <v>0</v>
      </c>
    </row>
    <row r="59" spans="1:16" ht="14.25" x14ac:dyDescent="0.25">
      <c r="A59" s="9" t="s">
        <v>89</v>
      </c>
      <c r="B59" s="22">
        <f t="shared" si="3"/>
        <v>8.9792439550701673</v>
      </c>
      <c r="C59" s="23" t="s">
        <v>8</v>
      </c>
      <c r="D59" s="24">
        <f t="shared" si="4"/>
        <v>3.1E-2</v>
      </c>
      <c r="G59" s="1">
        <f t="shared" si="5"/>
        <v>8.9792439550701673</v>
      </c>
      <c r="H59" s="1">
        <f t="shared" si="5"/>
        <v>8.9792439550701673</v>
      </c>
      <c r="I59" s="1">
        <f t="shared" si="5"/>
        <v>8.9792439550701673</v>
      </c>
      <c r="J59" s="30">
        <f>$B59+$D59</f>
        <v>9.0102439550701678</v>
      </c>
      <c r="K59" s="1">
        <f t="shared" si="5"/>
        <v>8.9792439550701673</v>
      </c>
      <c r="L59" s="1">
        <f t="shared" si="5"/>
        <v>8.9792439550701673</v>
      </c>
      <c r="M59" s="1">
        <f t="shared" si="5"/>
        <v>8.9792439550701673</v>
      </c>
      <c r="N59" s="1">
        <f t="shared" si="5"/>
        <v>8.9792439550701673</v>
      </c>
      <c r="O59" s="1">
        <f t="shared" si="5"/>
        <v>8.9792439550701673</v>
      </c>
      <c r="P59" s="1">
        <f t="shared" si="5"/>
        <v>8.9792439550701673</v>
      </c>
    </row>
    <row r="60" spans="1:16" ht="14.25" x14ac:dyDescent="0.25">
      <c r="A60" s="9" t="s">
        <v>94</v>
      </c>
      <c r="B60" s="22">
        <f t="shared" si="3"/>
        <v>11.95</v>
      </c>
      <c r="C60" s="23" t="s">
        <v>8</v>
      </c>
      <c r="D60" s="24">
        <f t="shared" si="4"/>
        <v>6.8704623597826572E-2</v>
      </c>
      <c r="E60" s="6"/>
      <c r="G60" s="1">
        <f t="shared" si="5"/>
        <v>11.95</v>
      </c>
      <c r="H60" s="1">
        <f t="shared" si="5"/>
        <v>11.95</v>
      </c>
      <c r="I60" s="1">
        <f t="shared" si="5"/>
        <v>11.95</v>
      </c>
      <c r="J60" s="1">
        <f t="shared" si="5"/>
        <v>11.95</v>
      </c>
      <c r="K60" s="30">
        <f>$B60+$D60</f>
        <v>12.018704623597825</v>
      </c>
      <c r="L60" s="1">
        <f t="shared" si="5"/>
        <v>11.95</v>
      </c>
      <c r="M60" s="1">
        <f t="shared" si="5"/>
        <v>11.95</v>
      </c>
      <c r="N60" s="1">
        <f t="shared" si="5"/>
        <v>11.95</v>
      </c>
      <c r="O60" s="1">
        <f t="shared" si="5"/>
        <v>11.95</v>
      </c>
      <c r="P60" s="1">
        <f t="shared" si="5"/>
        <v>11.95</v>
      </c>
    </row>
    <row r="61" spans="1:16" x14ac:dyDescent="0.2">
      <c r="A61" s="59" t="s">
        <v>49</v>
      </c>
      <c r="B61" s="22">
        <f t="shared" si="3"/>
        <v>1.0015712145309938</v>
      </c>
      <c r="C61" s="23" t="s">
        <v>50</v>
      </c>
      <c r="D61" s="24">
        <f t="shared" si="4"/>
        <v>4.5357056621197475E-4</v>
      </c>
      <c r="G61" s="1">
        <f t="shared" si="5"/>
        <v>1.0015712145309938</v>
      </c>
      <c r="H61" s="1">
        <f t="shared" si="5"/>
        <v>1.0015712145309938</v>
      </c>
      <c r="I61" s="1">
        <f t="shared" si="5"/>
        <v>1.0015712145309938</v>
      </c>
      <c r="J61" s="1">
        <f t="shared" si="5"/>
        <v>1.0015712145309938</v>
      </c>
      <c r="K61" s="1">
        <f t="shared" si="5"/>
        <v>1.0015712145309938</v>
      </c>
      <c r="L61" s="30">
        <f>$B61+$D61</f>
        <v>1.0020247850972057</v>
      </c>
      <c r="M61" s="1">
        <f t="shared" si="5"/>
        <v>1.0015712145309938</v>
      </c>
      <c r="N61" s="1">
        <f t="shared" si="5"/>
        <v>1.0015712145309938</v>
      </c>
      <c r="O61" s="1">
        <f t="shared" si="5"/>
        <v>1.0015712145309938</v>
      </c>
      <c r="P61" s="1">
        <f t="shared" si="5"/>
        <v>1.0015712145309938</v>
      </c>
    </row>
    <row r="62" spans="1:16" ht="14.25" x14ac:dyDescent="0.25">
      <c r="A62" s="9" t="s">
        <v>97</v>
      </c>
      <c r="B62" s="22">
        <f t="shared" si="3"/>
        <v>0</v>
      </c>
      <c r="C62" s="23" t="s">
        <v>8</v>
      </c>
      <c r="D62" s="24">
        <f t="shared" si="4"/>
        <v>3.2511259978691203E-3</v>
      </c>
      <c r="G62" s="1">
        <f t="shared" si="5"/>
        <v>0</v>
      </c>
      <c r="H62" s="1">
        <f t="shared" si="5"/>
        <v>0</v>
      </c>
      <c r="I62" s="1">
        <f t="shared" si="5"/>
        <v>0</v>
      </c>
      <c r="J62" s="1">
        <f t="shared" si="5"/>
        <v>0</v>
      </c>
      <c r="K62" s="1">
        <f t="shared" si="5"/>
        <v>0</v>
      </c>
      <c r="L62" s="1">
        <f t="shared" si="5"/>
        <v>0</v>
      </c>
      <c r="M62" s="30">
        <f>$B62+$D62</f>
        <v>3.2511259978691203E-3</v>
      </c>
      <c r="N62" s="1">
        <f t="shared" si="5"/>
        <v>0</v>
      </c>
      <c r="O62" s="1">
        <f t="shared" si="5"/>
        <v>0</v>
      </c>
      <c r="P62" s="1">
        <f t="shared" si="5"/>
        <v>0</v>
      </c>
    </row>
    <row r="63" spans="1:16" ht="14.25" x14ac:dyDescent="0.25">
      <c r="A63" s="9" t="s">
        <v>98</v>
      </c>
      <c r="B63" s="22">
        <f t="shared" si="3"/>
        <v>0</v>
      </c>
      <c r="C63" s="23" t="s">
        <v>8</v>
      </c>
      <c r="D63" s="24">
        <f t="shared" si="4"/>
        <v>1.5131536934523558E-3</v>
      </c>
      <c r="G63" s="1">
        <f t="shared" si="5"/>
        <v>0</v>
      </c>
      <c r="H63" s="1">
        <f t="shared" si="5"/>
        <v>0</v>
      </c>
      <c r="I63" s="1">
        <f t="shared" si="5"/>
        <v>0</v>
      </c>
      <c r="J63" s="1">
        <f t="shared" si="5"/>
        <v>0</v>
      </c>
      <c r="K63" s="1">
        <f t="shared" si="5"/>
        <v>0</v>
      </c>
      <c r="L63" s="1">
        <f t="shared" si="5"/>
        <v>0</v>
      </c>
      <c r="M63" s="1">
        <f t="shared" si="5"/>
        <v>0</v>
      </c>
      <c r="N63" s="30">
        <f>$B63+$D63</f>
        <v>1.5131536934523558E-3</v>
      </c>
      <c r="O63" s="1">
        <f t="shared" si="5"/>
        <v>0</v>
      </c>
      <c r="P63" s="1">
        <f t="shared" si="5"/>
        <v>0</v>
      </c>
    </row>
    <row r="64" spans="1:16" ht="14.25" x14ac:dyDescent="0.25">
      <c r="A64" s="9" t="s">
        <v>99</v>
      </c>
      <c r="B64" s="22">
        <f t="shared" si="3"/>
        <v>0</v>
      </c>
      <c r="C64" s="23" t="s">
        <v>8</v>
      </c>
      <c r="D64" s="24">
        <f t="shared" si="4"/>
        <v>0</v>
      </c>
      <c r="G64" s="1">
        <f t="shared" si="5"/>
        <v>0</v>
      </c>
      <c r="H64" s="1">
        <f t="shared" si="5"/>
        <v>0</v>
      </c>
      <c r="I64" s="1">
        <f t="shared" si="5"/>
        <v>0</v>
      </c>
      <c r="J64" s="1">
        <f t="shared" si="5"/>
        <v>0</v>
      </c>
      <c r="K64" s="1">
        <f t="shared" si="5"/>
        <v>0</v>
      </c>
      <c r="L64" s="1">
        <f t="shared" si="5"/>
        <v>0</v>
      </c>
      <c r="M64" s="1">
        <f t="shared" si="5"/>
        <v>0</v>
      </c>
      <c r="N64" s="1">
        <f t="shared" si="5"/>
        <v>0</v>
      </c>
      <c r="O64" s="30">
        <f>$B64+$D64</f>
        <v>0</v>
      </c>
      <c r="P64" s="1">
        <f t="shared" si="5"/>
        <v>0</v>
      </c>
    </row>
    <row r="65" spans="1:16" ht="14.25" x14ac:dyDescent="0.25">
      <c r="A65" s="9" t="s">
        <v>100</v>
      </c>
      <c r="B65" s="22">
        <f t="shared" si="3"/>
        <v>0</v>
      </c>
      <c r="C65" s="23" t="s">
        <v>8</v>
      </c>
      <c r="D65" s="24">
        <f t="shared" si="4"/>
        <v>1.5173698697918634E-2</v>
      </c>
      <c r="G65" s="1">
        <f t="shared" si="5"/>
        <v>0</v>
      </c>
      <c r="H65" s="1">
        <f t="shared" si="5"/>
        <v>0</v>
      </c>
      <c r="I65" s="1">
        <f t="shared" si="5"/>
        <v>0</v>
      </c>
      <c r="J65" s="1">
        <f t="shared" si="5"/>
        <v>0</v>
      </c>
      <c r="K65" s="1">
        <f t="shared" si="5"/>
        <v>0</v>
      </c>
      <c r="L65" s="1">
        <f t="shared" si="5"/>
        <v>0</v>
      </c>
      <c r="M65" s="1">
        <f t="shared" si="5"/>
        <v>0</v>
      </c>
      <c r="N65" s="1">
        <f t="shared" si="5"/>
        <v>0</v>
      </c>
      <c r="O65" s="1">
        <f t="shared" si="5"/>
        <v>0</v>
      </c>
      <c r="P65" s="30">
        <f>$B65+$D65</f>
        <v>1.5173698697918634E-2</v>
      </c>
    </row>
    <row r="67" spans="1:16" ht="15.75" x14ac:dyDescent="0.3">
      <c r="A67" s="4" t="s">
        <v>51</v>
      </c>
      <c r="B67" s="31">
        <f>(B60+B62+B63+B64+B65)/B61/((B57-B56)/(B59-B58))-((B56*B59-B58*B57)/(B59-B58))/((B57-B56)/(B59-B58))</f>
        <v>11.86418995996528</v>
      </c>
      <c r="C67" s="23" t="s">
        <v>8</v>
      </c>
      <c r="E67" s="51"/>
      <c r="F67" s="51"/>
      <c r="G67" s="1">
        <f>(((G60+G62+G63+G64+G65)/G61)-INTERCEPT(G56:G57,G58:G59))/SLOPE(G56:G57,G58:G59)</f>
        <v>11.866011646656643</v>
      </c>
      <c r="H67" s="1">
        <f t="shared" ref="H67:P67" si="6">(((H60+H62+H63+H64+H65)/H61)-INTERCEPT(H56:H57,H58:H59))/SLOPE(H56:H57,H58:H59)</f>
        <v>11.857815634304908</v>
      </c>
      <c r="I67" s="1">
        <f t="shared" si="6"/>
        <v>11.862334988254011</v>
      </c>
      <c r="J67" s="1">
        <f t="shared" si="6"/>
        <v>11.905149966241895</v>
      </c>
      <c r="K67" s="1">
        <f t="shared" si="6"/>
        <v>11.932401232391431</v>
      </c>
      <c r="L67" s="1">
        <f t="shared" si="6"/>
        <v>11.858819586459733</v>
      </c>
      <c r="M67" s="1">
        <f t="shared" si="6"/>
        <v>11.867417740419045</v>
      </c>
      <c r="N67" s="1">
        <f t="shared" si="6"/>
        <v>11.865692248070529</v>
      </c>
      <c r="O67" s="1">
        <f t="shared" si="6"/>
        <v>11.86418995996528</v>
      </c>
      <c r="P67" s="1">
        <f t="shared" si="6"/>
        <v>11.879254700027822</v>
      </c>
    </row>
    <row r="68" spans="1:16" ht="15.75" x14ac:dyDescent="0.3">
      <c r="A68" s="4" t="s">
        <v>52</v>
      </c>
      <c r="B68" s="32">
        <f>SQRT(P70)</f>
        <v>8.1525174217540811E-2</v>
      </c>
      <c r="C68" s="4" t="s">
        <v>8</v>
      </c>
      <c r="G68" s="1">
        <f>G67-$B$67</f>
        <v>1.8216866913629559E-3</v>
      </c>
      <c r="H68" s="1">
        <f t="shared" ref="H68:P68" si="7">H67-$B$67</f>
        <v>-6.3743256603725484E-3</v>
      </c>
      <c r="I68" s="1">
        <f t="shared" si="7"/>
        <v>-1.8549717112694708E-3</v>
      </c>
      <c r="J68" s="1">
        <f t="shared" si="7"/>
        <v>4.0960006276614891E-2</v>
      </c>
      <c r="K68" s="1">
        <f t="shared" si="7"/>
        <v>6.8211272426150771E-2</v>
      </c>
      <c r="L68" s="1">
        <f t="shared" si="7"/>
        <v>-5.3703735055474766E-3</v>
      </c>
      <c r="M68" s="1">
        <f t="shared" si="7"/>
        <v>3.2277804537645949E-3</v>
      </c>
      <c r="N68" s="1">
        <f t="shared" si="7"/>
        <v>1.5022881052484394E-3</v>
      </c>
      <c r="O68" s="1">
        <f t="shared" si="7"/>
        <v>0</v>
      </c>
      <c r="P68" s="1">
        <f t="shared" si="7"/>
        <v>1.5064740062541659E-2</v>
      </c>
    </row>
    <row r="69" spans="1:16" ht="15.75" x14ac:dyDescent="0.3">
      <c r="A69" s="33" t="s">
        <v>53</v>
      </c>
      <c r="B69" s="34">
        <f>B68*2</f>
        <v>0.16305034843508162</v>
      </c>
      <c r="C69" s="33" t="s">
        <v>54</v>
      </c>
      <c r="G69" s="1">
        <f>G68^2</f>
        <v>3.3185424014889134E-6</v>
      </c>
      <c r="H69" s="1">
        <f t="shared" ref="H69:P69" si="8">H68^2</f>
        <v>4.0632027624483925E-5</v>
      </c>
      <c r="I69" s="1">
        <f t="shared" si="8"/>
        <v>3.4409200496099888E-6</v>
      </c>
      <c r="J69" s="1">
        <f t="shared" si="8"/>
        <v>1.6777221141803312E-3</v>
      </c>
      <c r="K69" s="1">
        <f t="shared" si="8"/>
        <v>4.6527776859945566E-3</v>
      </c>
      <c r="L69" s="1">
        <f t="shared" si="8"/>
        <v>2.8840911589086292E-5</v>
      </c>
      <c r="M69" s="1">
        <f t="shared" si="8"/>
        <v>1.0418566657704774E-5</v>
      </c>
      <c r="N69" s="1">
        <f t="shared" si="8"/>
        <v>2.2568695511709462E-6</v>
      </c>
      <c r="O69" s="1">
        <f t="shared" si="8"/>
        <v>0</v>
      </c>
      <c r="P69" s="1">
        <f t="shared" si="8"/>
        <v>2.2694639315194769E-4</v>
      </c>
    </row>
    <row r="70" spans="1:16" ht="15.75" x14ac:dyDescent="0.3">
      <c r="A70" s="33" t="s">
        <v>70</v>
      </c>
      <c r="B70" s="88">
        <f>B69/B67*100</f>
        <v>1.3743066234212487</v>
      </c>
      <c r="C70" s="33" t="s">
        <v>71</v>
      </c>
      <c r="P70" s="1">
        <f>SUM(G69:P69)</f>
        <v>6.6463540312003801E-3</v>
      </c>
    </row>
    <row r="71" spans="1:16" ht="15.75" x14ac:dyDescent="0.3">
      <c r="B71" s="4" t="s">
        <v>77</v>
      </c>
      <c r="C71" s="1">
        <f>('Table S6'!B67-'Table S7'!B66)/SQRT('Table S6'!B69^2+'Table S7'!B68^2)</f>
        <v>-0.15089918957245052</v>
      </c>
      <c r="E71" s="4" t="s">
        <v>55</v>
      </c>
      <c r="G71" s="89">
        <f>G69/$P$70</f>
        <v>4.9930268323211192E-4</v>
      </c>
      <c r="H71" s="89">
        <f t="shared" ref="H71:P71" si="9">H69/$P$70</f>
        <v>6.1134311283664016E-3</v>
      </c>
      <c r="I71" s="89">
        <f t="shared" si="9"/>
        <v>5.1771543216883585E-4</v>
      </c>
      <c r="J71" s="89">
        <f>J69/$P$70</f>
        <v>0.2524274371037864</v>
      </c>
      <c r="K71" s="89">
        <f t="shared" si="9"/>
        <v>0.70004963084312721</v>
      </c>
      <c r="L71" s="89">
        <f t="shared" si="9"/>
        <v>4.3393583088858437E-3</v>
      </c>
      <c r="M71" s="89">
        <f t="shared" si="9"/>
        <v>1.5675611935199764E-3</v>
      </c>
      <c r="N71" s="89">
        <f>N69/$P$70</f>
        <v>3.3956505184291831E-4</v>
      </c>
      <c r="O71" s="89">
        <f t="shared" si="9"/>
        <v>0</v>
      </c>
      <c r="P71" s="89">
        <f t="shared" si="9"/>
        <v>3.4145998255070309E-2</v>
      </c>
    </row>
    <row r="72" spans="1:16" x14ac:dyDescent="0.2">
      <c r="P72" s="52">
        <f>SUM(G71:P71)</f>
        <v>1</v>
      </c>
    </row>
  </sheetData>
  <mergeCells count="4">
    <mergeCell ref="A41:E41"/>
    <mergeCell ref="F41:K41"/>
    <mergeCell ref="F42:H42"/>
    <mergeCell ref="I42:K42"/>
  </mergeCells>
  <pageMargins left="0.7" right="0.7" top="0.75" bottom="0.75" header="0.3" footer="0.3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5361" r:id="rId4">
          <objectPr defaultSize="0" autoPict="0" r:id="rId5">
            <anchor moveWithCells="1" sizeWithCells="1">
              <from>
                <xdr:col>6</xdr:col>
                <xdr:colOff>161925</xdr:colOff>
                <xdr:row>2</xdr:row>
                <xdr:rowOff>85725</xdr:rowOff>
              </from>
              <to>
                <xdr:col>9</xdr:col>
                <xdr:colOff>190500</xdr:colOff>
                <xdr:row>5</xdr:row>
                <xdr:rowOff>57150</xdr:rowOff>
              </to>
            </anchor>
          </objectPr>
        </oleObject>
      </mc:Choice>
      <mc:Fallback>
        <oleObject progId="Equation.3" shapeId="15361" r:id="rId4"/>
      </mc:Fallback>
    </mc:AlternateContent>
    <mc:AlternateContent xmlns:mc="http://schemas.openxmlformats.org/markup-compatibility/2006">
      <mc:Choice Requires="x14">
        <oleObject progId="Equation.3" shapeId="15362" r:id="rId6">
          <objectPr defaultSize="0" autoPict="0" r:id="rId7">
            <anchor moveWithCells="1" sizeWithCells="1">
              <from>
                <xdr:col>9</xdr:col>
                <xdr:colOff>514350</xdr:colOff>
                <xdr:row>2</xdr:row>
                <xdr:rowOff>9525</xdr:rowOff>
              </from>
              <to>
                <xdr:col>12</xdr:col>
                <xdr:colOff>85725</xdr:colOff>
                <xdr:row>4</xdr:row>
                <xdr:rowOff>142875</xdr:rowOff>
              </to>
            </anchor>
          </objectPr>
        </oleObject>
      </mc:Choice>
      <mc:Fallback>
        <oleObject progId="Equation.3" shapeId="15362" r:id="rId6"/>
      </mc:Fallback>
    </mc:AlternateContent>
    <mc:AlternateContent xmlns:mc="http://schemas.openxmlformats.org/markup-compatibility/2006">
      <mc:Choice Requires="x14">
        <oleObject progId="Equation.3" shapeId="15363" r:id="rId8">
          <objectPr defaultSize="0" autoPict="0" r:id="rId9">
            <anchor moveWithCells="1" sizeWithCells="1">
              <from>
                <xdr:col>0</xdr:col>
                <xdr:colOff>533400</xdr:colOff>
                <xdr:row>2</xdr:row>
                <xdr:rowOff>57150</xdr:rowOff>
              </from>
              <to>
                <xdr:col>5</xdr:col>
                <xdr:colOff>381000</xdr:colOff>
                <xdr:row>5</xdr:row>
                <xdr:rowOff>28575</xdr:rowOff>
              </to>
            </anchor>
          </objectPr>
        </oleObject>
      </mc:Choice>
      <mc:Fallback>
        <oleObject progId="Equation.3" shapeId="15363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1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13.42578125" style="1" customWidth="1"/>
    <col min="3" max="4" width="9.140625" style="1"/>
    <col min="5" max="5" width="12.42578125" style="1" bestFit="1" customWidth="1"/>
    <col min="6" max="6" width="12.7109375" style="1" bestFit="1" customWidth="1"/>
    <col min="7" max="7" width="12.140625" style="1" bestFit="1" customWidth="1"/>
    <col min="8" max="8" width="19.28515625" style="1" customWidth="1"/>
    <col min="9" max="9" width="7" style="1" customWidth="1"/>
    <col min="10" max="10" width="10.140625" style="1" customWidth="1"/>
    <col min="11" max="22" width="9.140625" style="1"/>
    <col min="23" max="23" width="12.5703125" style="1" customWidth="1"/>
    <col min="24" max="16384" width="9.140625" style="1"/>
  </cols>
  <sheetData>
    <row r="1" spans="1:13" ht="12.95" x14ac:dyDescent="0.3">
      <c r="A1" s="5" t="s">
        <v>189</v>
      </c>
    </row>
    <row r="2" spans="1:13" ht="12.95" x14ac:dyDescent="0.3">
      <c r="A2" s="5" t="s">
        <v>187</v>
      </c>
    </row>
    <row r="4" spans="1:13" ht="12.6" customHeight="1" x14ac:dyDescent="0.3">
      <c r="A4" s="5"/>
    </row>
    <row r="5" spans="1:13" ht="12.6" x14ac:dyDescent="0.25">
      <c r="A5" s="6"/>
    </row>
    <row r="6" spans="1:13" ht="12.6" x14ac:dyDescent="0.25">
      <c r="A6" s="4"/>
    </row>
    <row r="8" spans="1:13" s="2" customFormat="1" ht="18" x14ac:dyDescent="0.4">
      <c r="A8" s="73" t="s">
        <v>120</v>
      </c>
    </row>
    <row r="9" spans="1:13" s="36" customFormat="1" ht="11.45" x14ac:dyDescent="0.25">
      <c r="A9" s="36" t="s">
        <v>60</v>
      </c>
    </row>
    <row r="10" spans="1:13" s="36" customFormat="1" ht="15" x14ac:dyDescent="0.4">
      <c r="A10" s="9" t="s">
        <v>78</v>
      </c>
      <c r="B10" s="44">
        <v>1.9832633040858201E-2</v>
      </c>
      <c r="C10" s="38" t="s">
        <v>8</v>
      </c>
      <c r="D10" s="38" t="s">
        <v>57</v>
      </c>
    </row>
    <row r="11" spans="1:13" s="36" customFormat="1" ht="14.45" customHeight="1" x14ac:dyDescent="0.4">
      <c r="A11" s="9" t="s">
        <v>79</v>
      </c>
      <c r="B11" s="44">
        <v>1.9832633040858156E-2</v>
      </c>
      <c r="C11" s="38" t="s">
        <v>8</v>
      </c>
      <c r="D11" s="38" t="s">
        <v>61</v>
      </c>
      <c r="E11" s="42"/>
    </row>
    <row r="12" spans="1:13" s="36" customFormat="1" ht="14.45" customHeight="1" x14ac:dyDescent="0.4">
      <c r="A12" s="9" t="s">
        <v>80</v>
      </c>
      <c r="B12" s="44">
        <v>5.1187980221346824E-2</v>
      </c>
      <c r="C12" s="38" t="s">
        <v>8</v>
      </c>
      <c r="D12" s="38" t="s">
        <v>58</v>
      </c>
      <c r="E12" s="38"/>
      <c r="F12" s="37"/>
      <c r="G12" s="37"/>
      <c r="K12" s="41"/>
      <c r="L12" s="41"/>
      <c r="M12" s="41"/>
    </row>
    <row r="13" spans="1:13" s="36" customFormat="1" ht="14.45" customHeight="1" x14ac:dyDescent="0.4">
      <c r="A13" s="9" t="s">
        <v>81</v>
      </c>
      <c r="B13" s="37">
        <v>3.1E-2</v>
      </c>
      <c r="C13" s="38" t="s">
        <v>8</v>
      </c>
      <c r="D13" s="55" t="s">
        <v>203</v>
      </c>
      <c r="E13" s="38"/>
      <c r="F13" s="37"/>
      <c r="G13" s="37"/>
    </row>
    <row r="14" spans="1:13" s="36" customFormat="1" ht="14.45" customHeight="1" x14ac:dyDescent="0.4">
      <c r="A14" s="9" t="s">
        <v>82</v>
      </c>
      <c r="B14" s="39">
        <v>1.461426052270281E-2</v>
      </c>
      <c r="C14" s="38" t="s">
        <v>122</v>
      </c>
      <c r="D14" s="38" t="s">
        <v>62</v>
      </c>
      <c r="E14" s="38"/>
      <c r="F14" s="37"/>
      <c r="G14" s="37"/>
    </row>
    <row r="15" spans="1:13" s="36" customFormat="1" ht="14.45" customHeight="1" x14ac:dyDescent="0.25">
      <c r="A15" s="9" t="s">
        <v>83</v>
      </c>
      <c r="B15" s="44">
        <v>-7.7609411222321581E-2</v>
      </c>
      <c r="C15" s="38" t="s">
        <v>63</v>
      </c>
      <c r="D15" s="38" t="s">
        <v>64</v>
      </c>
      <c r="E15" s="38"/>
      <c r="F15" s="37"/>
      <c r="G15" s="37"/>
    </row>
    <row r="16" spans="1:13" s="36" customFormat="1" ht="14.45" customHeight="1" x14ac:dyDescent="0.4">
      <c r="A16" s="9" t="s">
        <v>84</v>
      </c>
      <c r="B16" s="39">
        <v>3.7617436074540932E-3</v>
      </c>
      <c r="C16" s="38" t="s">
        <v>8</v>
      </c>
      <c r="D16" s="38" t="s">
        <v>107</v>
      </c>
      <c r="E16" s="38"/>
      <c r="F16" s="37"/>
      <c r="G16" s="37"/>
    </row>
    <row r="17" spans="1:21" s="36" customFormat="1" ht="14.45" customHeight="1" x14ac:dyDescent="0.4">
      <c r="A17" s="72" t="s">
        <v>123</v>
      </c>
      <c r="B17" s="39">
        <v>8.9586279390695481E-4</v>
      </c>
      <c r="C17" s="38" t="s">
        <v>8</v>
      </c>
      <c r="D17" s="38" t="s">
        <v>124</v>
      </c>
      <c r="E17" s="37"/>
      <c r="F17" s="37"/>
      <c r="G17" s="37"/>
    </row>
    <row r="18" spans="1:21" s="36" customFormat="1" ht="14.45" customHeight="1" x14ac:dyDescent="0.25">
      <c r="A18" s="37"/>
      <c r="B18" s="37"/>
      <c r="C18" s="37"/>
      <c r="D18" s="37"/>
      <c r="E18" s="37"/>
      <c r="F18" s="37"/>
      <c r="G18" s="37"/>
    </row>
    <row r="19" spans="1:21" ht="12.95" x14ac:dyDescent="0.3">
      <c r="A19" s="2" t="s">
        <v>3</v>
      </c>
    </row>
    <row r="20" spans="1:21" ht="12.95" x14ac:dyDescent="0.3">
      <c r="A20" s="2"/>
      <c r="B20" s="2" t="s">
        <v>4</v>
      </c>
      <c r="C20" s="2" t="s">
        <v>5</v>
      </c>
      <c r="D20" s="2" t="s">
        <v>6</v>
      </c>
    </row>
    <row r="21" spans="1:21" ht="12.95" x14ac:dyDescent="0.3">
      <c r="A21" s="2" t="s">
        <v>7</v>
      </c>
      <c r="B21" s="8"/>
      <c r="C21" s="2"/>
      <c r="D21" s="2"/>
    </row>
    <row r="22" spans="1:21" ht="15" x14ac:dyDescent="0.4">
      <c r="A22" s="9" t="s">
        <v>86</v>
      </c>
      <c r="B22" s="10">
        <v>0</v>
      </c>
      <c r="C22" s="4" t="s">
        <v>8</v>
      </c>
      <c r="D22" s="4" t="s">
        <v>9</v>
      </c>
      <c r="L22" s="4" t="s">
        <v>200</v>
      </c>
    </row>
    <row r="23" spans="1:21" ht="15" x14ac:dyDescent="0.4">
      <c r="A23" s="9" t="s">
        <v>87</v>
      </c>
      <c r="B23" s="10">
        <v>8.98</v>
      </c>
      <c r="C23" s="4" t="s">
        <v>8</v>
      </c>
      <c r="D23" s="4" t="s">
        <v>10</v>
      </c>
      <c r="L23" s="4" t="s">
        <v>12</v>
      </c>
      <c r="M23" s="1">
        <v>8.0000000000000002E-3</v>
      </c>
    </row>
    <row r="24" spans="1:21" ht="15" x14ac:dyDescent="0.4">
      <c r="A24" s="9" t="s">
        <v>88</v>
      </c>
      <c r="B24" s="8">
        <v>0</v>
      </c>
      <c r="C24" s="4" t="s">
        <v>8</v>
      </c>
      <c r="D24" s="4" t="s">
        <v>72</v>
      </c>
      <c r="L24" s="4" t="s">
        <v>15</v>
      </c>
      <c r="M24" s="1">
        <v>-0.16919999999999999</v>
      </c>
      <c r="O24" s="45"/>
      <c r="P24" s="45"/>
      <c r="Q24" s="35"/>
      <c r="R24" s="35"/>
      <c r="S24" s="35"/>
      <c r="T24" s="35"/>
      <c r="U24" s="35"/>
    </row>
    <row r="25" spans="1:21" ht="15" x14ac:dyDescent="0.25">
      <c r="A25" s="9" t="s">
        <v>89</v>
      </c>
      <c r="B25" s="11">
        <f>(EXP(-139.3441+157570.1/(B26+273.15)+(-66423080/(B26+273.15)^2)+(12438000000/(B26+273.15)^3)+(-862194900000/(B26+273.15)^4)))*(B27-101325*(EXP((((-216961*(1/(B26+273.15)))-3840.7)*(1/(B26+273.15))+11.8571))))/(101325-101325*(EXP((((-216961*(1/(B26+273.15)))-3840.7)*(1/(B26+273.15))+11.8571))))</f>
        <v>8.9792439550701673</v>
      </c>
      <c r="C25" s="4" t="s">
        <v>8</v>
      </c>
      <c r="D25" s="4" t="s">
        <v>198</v>
      </c>
      <c r="L25" s="4" t="s">
        <v>17</v>
      </c>
      <c r="M25" s="1">
        <v>25.385100000000001</v>
      </c>
      <c r="O25" s="4" t="s">
        <v>75</v>
      </c>
      <c r="Q25" s="35"/>
      <c r="R25" s="35"/>
      <c r="S25" s="35"/>
      <c r="T25" s="35"/>
      <c r="U25" s="35"/>
    </row>
    <row r="26" spans="1:21" ht="15.75" x14ac:dyDescent="0.3">
      <c r="A26" s="8" t="s">
        <v>90</v>
      </c>
      <c r="B26" s="10">
        <v>19.908999999999999</v>
      </c>
      <c r="C26" s="4" t="s">
        <v>13</v>
      </c>
      <c r="D26" s="4" t="s">
        <v>14</v>
      </c>
      <c r="L26" s="4" t="s">
        <v>19</v>
      </c>
      <c r="M26" s="1">
        <v>14.094099999999999</v>
      </c>
      <c r="O26" s="1">
        <f>42.914*1.25608904610271</f>
        <v>53.903805324451703</v>
      </c>
      <c r="P26" s="1" t="s">
        <v>11</v>
      </c>
    </row>
    <row r="27" spans="1:21" ht="15.95" x14ac:dyDescent="0.4">
      <c r="A27" s="8" t="s">
        <v>91</v>
      </c>
      <c r="B27" s="12">
        <v>99915</v>
      </c>
      <c r="C27" s="4" t="s">
        <v>1</v>
      </c>
      <c r="D27" s="4" t="s">
        <v>16</v>
      </c>
      <c r="L27" s="4" t="s">
        <v>21</v>
      </c>
      <c r="M27" s="1">
        <v>-7.0260999999999996</v>
      </c>
      <c r="O27" s="35" t="s">
        <v>76</v>
      </c>
      <c r="P27" s="35"/>
    </row>
    <row r="28" spans="1:21" ht="15.75" x14ac:dyDescent="0.3">
      <c r="A28" s="8" t="s">
        <v>92</v>
      </c>
      <c r="B28" s="10">
        <v>19.899999999999999</v>
      </c>
      <c r="C28" s="4" t="s">
        <v>13</v>
      </c>
      <c r="D28" s="4" t="s">
        <v>18</v>
      </c>
      <c r="L28" s="4" t="s">
        <v>22</v>
      </c>
      <c r="M28" s="1">
        <v>2.7081</v>
      </c>
      <c r="O28" s="56" t="s">
        <v>73</v>
      </c>
      <c r="P28" s="35" t="s">
        <v>56</v>
      </c>
    </row>
    <row r="29" spans="1:21" ht="15.75" x14ac:dyDescent="0.3">
      <c r="A29" s="8" t="s">
        <v>93</v>
      </c>
      <c r="B29" s="10">
        <v>100100</v>
      </c>
      <c r="C29" s="4" t="s">
        <v>1</v>
      </c>
      <c r="D29" s="4" t="s">
        <v>20</v>
      </c>
      <c r="L29" s="4" t="s">
        <v>24</v>
      </c>
      <c r="M29" s="1">
        <v>5.0000000000000001E-4</v>
      </c>
      <c r="O29" s="56" t="s">
        <v>201</v>
      </c>
      <c r="P29" s="35" t="s">
        <v>74</v>
      </c>
    </row>
    <row r="30" spans="1:21" ht="12.6" x14ac:dyDescent="0.25">
      <c r="A30" s="46"/>
      <c r="B30" s="47"/>
      <c r="C30" s="6"/>
      <c r="D30" s="48"/>
      <c r="L30" s="4" t="s">
        <v>26</v>
      </c>
      <c r="M30" s="1">
        <v>-5.5999999999999999E-3</v>
      </c>
    </row>
    <row r="31" spans="1:21" ht="12.95" x14ac:dyDescent="0.3">
      <c r="A31" s="2" t="s">
        <v>23</v>
      </c>
      <c r="B31" s="2"/>
      <c r="C31" s="2"/>
      <c r="D31" s="2"/>
      <c r="F31" s="4" t="s">
        <v>55</v>
      </c>
      <c r="L31" s="4" t="s">
        <v>29</v>
      </c>
      <c r="M31" s="1">
        <v>-6.6E-3</v>
      </c>
    </row>
    <row r="32" spans="1:21" ht="15" x14ac:dyDescent="0.4">
      <c r="A32" s="9" t="s">
        <v>94</v>
      </c>
      <c r="B32" s="13">
        <v>11.92</v>
      </c>
      <c r="C32" s="4" t="s">
        <v>8</v>
      </c>
      <c r="D32" s="4" t="s">
        <v>25</v>
      </c>
      <c r="E32" s="2"/>
      <c r="L32" s="4" t="s">
        <v>31</v>
      </c>
      <c r="M32" s="1">
        <v>-3.7499999999999999E-2</v>
      </c>
    </row>
    <row r="33" spans="1:14" ht="12.6" x14ac:dyDescent="0.25">
      <c r="A33" s="58" t="s">
        <v>27</v>
      </c>
      <c r="B33" s="14">
        <v>0.55800000000000005</v>
      </c>
      <c r="C33" s="4" t="s">
        <v>11</v>
      </c>
      <c r="D33" s="4" t="s">
        <v>28</v>
      </c>
      <c r="L33" s="4" t="s">
        <v>33</v>
      </c>
      <c r="M33" s="1">
        <v>6.3600000000000004E-2</v>
      </c>
    </row>
    <row r="34" spans="1:14" ht="12.95" x14ac:dyDescent="0.3">
      <c r="A34" s="8" t="s">
        <v>0</v>
      </c>
      <c r="B34" s="74">
        <f>M23+M24*(B33/O26)^0.5+M25*(B33/O26)+M26*(B33/O26)^1.5+M27*(B33/O26)^2+M28*(B33/O26)^2.5+((10/(1+0.0162*10))*(M29+M30*(B33/O26)^0.5+M31*(B33/O26)+M32*(B33/O26)^1.5+M33*(B33/O26)^2+M34*(B33/O26)^2.5))-(M23/(1+1.5*M35*(B33/O26)+(400*(B33/O26))^2))-(M29*(10/(1+0.0162*10))/(1+(M36*(B33/O26))^0.5+(M36*(B33/O26))^1.5))</f>
        <v>0.26448599037258497</v>
      </c>
      <c r="C34" s="4" t="s">
        <v>30</v>
      </c>
      <c r="D34" s="4" t="s">
        <v>204</v>
      </c>
      <c r="L34" s="4" t="s">
        <v>34</v>
      </c>
      <c r="M34" s="1">
        <v>-1.44E-2</v>
      </c>
    </row>
    <row r="35" spans="1:14" ht="15.75" x14ac:dyDescent="0.3">
      <c r="A35" s="8" t="s">
        <v>95</v>
      </c>
      <c r="B35" s="13">
        <v>18.899999999999999</v>
      </c>
      <c r="C35" s="4" t="s">
        <v>13</v>
      </c>
      <c r="D35" s="4" t="s">
        <v>32</v>
      </c>
      <c r="L35" s="4" t="s">
        <v>37</v>
      </c>
      <c r="M35" s="1">
        <v>400</v>
      </c>
      <c r="N35" s="4" t="s">
        <v>38</v>
      </c>
    </row>
    <row r="36" spans="1:14" ht="14.25" x14ac:dyDescent="0.25">
      <c r="A36" s="9" t="s">
        <v>96</v>
      </c>
      <c r="B36" s="13">
        <v>50</v>
      </c>
      <c r="C36" s="4" t="s">
        <v>59</v>
      </c>
      <c r="D36" s="4" t="s">
        <v>66</v>
      </c>
      <c r="L36" s="4" t="s">
        <v>39</v>
      </c>
      <c r="M36" s="1">
        <v>100</v>
      </c>
      <c r="N36" s="4" t="s">
        <v>38</v>
      </c>
    </row>
    <row r="37" spans="1:14" x14ac:dyDescent="0.2">
      <c r="A37" s="9" t="s">
        <v>35</v>
      </c>
      <c r="B37" s="13">
        <v>0</v>
      </c>
      <c r="C37" s="4"/>
      <c r="D37" s="4" t="s">
        <v>36</v>
      </c>
    </row>
    <row r="38" spans="1:14" x14ac:dyDescent="0.2">
      <c r="A38" s="9"/>
      <c r="B38" s="15"/>
      <c r="C38" s="4"/>
      <c r="D38" s="4"/>
    </row>
    <row r="39" spans="1:14" ht="13.5" thickBot="1" x14ac:dyDescent="0.25">
      <c r="A39" s="9"/>
      <c r="C39" s="4"/>
      <c r="D39" s="4"/>
    </row>
    <row r="40" spans="1:14" ht="13.5" thickBot="1" x14ac:dyDescent="0.25">
      <c r="A40" s="117" t="s">
        <v>40</v>
      </c>
      <c r="B40" s="118"/>
      <c r="C40" s="118"/>
      <c r="D40" s="118"/>
      <c r="E40" s="119"/>
      <c r="F40" s="117" t="s">
        <v>41</v>
      </c>
      <c r="G40" s="118"/>
      <c r="H40" s="118"/>
      <c r="I40" s="118"/>
      <c r="J40" s="118"/>
      <c r="K40" s="119"/>
      <c r="L40" s="49"/>
      <c r="M40" s="49"/>
      <c r="N40" s="49"/>
    </row>
    <row r="41" spans="1:14" ht="15" thickBot="1" x14ac:dyDescent="0.3">
      <c r="A41" s="17" t="s">
        <v>42</v>
      </c>
      <c r="B41" s="18" t="s">
        <v>4</v>
      </c>
      <c r="C41" s="19" t="s">
        <v>5</v>
      </c>
      <c r="D41" s="20" t="s">
        <v>43</v>
      </c>
      <c r="E41" s="21" t="s">
        <v>44</v>
      </c>
      <c r="F41" s="120" t="s">
        <v>45</v>
      </c>
      <c r="G41" s="121"/>
      <c r="H41" s="121"/>
      <c r="I41" s="120" t="s">
        <v>46</v>
      </c>
      <c r="J41" s="121"/>
      <c r="K41" s="122"/>
      <c r="L41" s="49"/>
      <c r="M41" s="49"/>
      <c r="N41" s="49"/>
    </row>
    <row r="42" spans="1:14" ht="14.25" x14ac:dyDescent="0.25">
      <c r="A42" s="9" t="s">
        <v>86</v>
      </c>
      <c r="B42" s="22">
        <f>B22</f>
        <v>0</v>
      </c>
      <c r="C42" s="23" t="s">
        <v>8</v>
      </c>
      <c r="D42" s="24">
        <f>SQRT(SUMSQ(F42,I42,L42))</f>
        <v>2.0041623354076683E-2</v>
      </c>
      <c r="E42" s="25"/>
      <c r="F42" s="4">
        <f>0.005/SQRT(3)</f>
        <v>2.886751345948129E-3</v>
      </c>
      <c r="G42" s="9" t="s">
        <v>101</v>
      </c>
      <c r="H42" s="4" t="s">
        <v>47</v>
      </c>
      <c r="I42" s="40">
        <f>B11</f>
        <v>1.9832633040858156E-2</v>
      </c>
      <c r="J42" s="9" t="s">
        <v>78</v>
      </c>
      <c r="K42" s="4" t="s">
        <v>67</v>
      </c>
      <c r="L42" s="22"/>
      <c r="M42" s="22"/>
      <c r="N42" s="22"/>
    </row>
    <row r="43" spans="1:14" ht="14.25" x14ac:dyDescent="0.25">
      <c r="A43" s="9" t="s">
        <v>87</v>
      </c>
      <c r="B43" s="22">
        <f>B23</f>
        <v>8.98</v>
      </c>
      <c r="C43" s="23" t="s">
        <v>8</v>
      </c>
      <c r="D43" s="24">
        <f t="shared" ref="D43:D50" si="0">SQRT(SUMSQ(F43,I43,L43))</f>
        <v>2.0041623354076728E-2</v>
      </c>
      <c r="E43" s="25">
        <f>D43/B43</f>
        <v>2.2318066095853815E-3</v>
      </c>
      <c r="F43" s="4">
        <f>0.005/SQRT(3)</f>
        <v>2.886751345948129E-3</v>
      </c>
      <c r="G43" s="9" t="s">
        <v>102</v>
      </c>
      <c r="H43" s="4" t="s">
        <v>47</v>
      </c>
      <c r="I43" s="40">
        <f>B10</f>
        <v>1.9832633040858201E-2</v>
      </c>
      <c r="J43" s="9" t="s">
        <v>79</v>
      </c>
      <c r="K43" s="4" t="s">
        <v>67</v>
      </c>
      <c r="L43" s="22"/>
      <c r="M43" s="22"/>
      <c r="N43" s="22"/>
    </row>
    <row r="44" spans="1:14" ht="14.25" x14ac:dyDescent="0.25">
      <c r="A44" s="9" t="s">
        <v>88</v>
      </c>
      <c r="B44" s="22">
        <f>B24</f>
        <v>0</v>
      </c>
      <c r="C44" s="23" t="s">
        <v>8</v>
      </c>
      <c r="D44" s="24">
        <f t="shared" si="0"/>
        <v>5.773502691896258E-3</v>
      </c>
      <c r="E44" s="25"/>
      <c r="F44" s="1">
        <f>0.01/SQRT(3)</f>
        <v>5.773502691896258E-3</v>
      </c>
      <c r="G44" s="9" t="s">
        <v>103</v>
      </c>
      <c r="H44" s="57" t="s">
        <v>48</v>
      </c>
      <c r="I44" s="22"/>
      <c r="J44" s="22"/>
      <c r="K44" s="22"/>
      <c r="L44" s="22"/>
      <c r="M44" s="22"/>
      <c r="N44" s="22"/>
    </row>
    <row r="45" spans="1:14" ht="14.25" x14ac:dyDescent="0.25">
      <c r="A45" s="9" t="s">
        <v>89</v>
      </c>
      <c r="B45" s="26">
        <f>B25</f>
        <v>8.9792439550701673</v>
      </c>
      <c r="C45" s="23" t="s">
        <v>8</v>
      </c>
      <c r="D45" s="24">
        <f t="shared" si="0"/>
        <v>3.1E-2</v>
      </c>
      <c r="E45" s="25">
        <f>D45/B45</f>
        <v>3.4524064782197749E-3</v>
      </c>
      <c r="F45" s="22">
        <f>B13</f>
        <v>3.1E-2</v>
      </c>
      <c r="G45" s="9" t="s">
        <v>81</v>
      </c>
      <c r="H45" s="57" t="s">
        <v>202</v>
      </c>
      <c r="I45" s="22"/>
      <c r="J45" s="22"/>
      <c r="K45" s="22"/>
      <c r="L45" s="22"/>
      <c r="M45" s="22"/>
      <c r="N45" s="22"/>
    </row>
    <row r="46" spans="1:14" ht="14.25" x14ac:dyDescent="0.25">
      <c r="A46" s="9" t="s">
        <v>94</v>
      </c>
      <c r="B46" s="26">
        <f>B32</f>
        <v>11.92</v>
      </c>
      <c r="C46" s="23" t="s">
        <v>8</v>
      </c>
      <c r="D46" s="24">
        <f>SQRT(SUMSQ(F46,I46,L46))</f>
        <v>5.1269314921055138E-2</v>
      </c>
      <c r="E46" s="25">
        <f>D46/B46</f>
        <v>4.301117023578451E-3</v>
      </c>
      <c r="F46" s="4">
        <f>0.005/SQRT(3)</f>
        <v>2.886751345948129E-3</v>
      </c>
      <c r="G46" s="9" t="s">
        <v>104</v>
      </c>
      <c r="H46" s="4" t="s">
        <v>47</v>
      </c>
      <c r="I46" s="40">
        <f>B12</f>
        <v>5.1187980221346824E-2</v>
      </c>
      <c r="J46" s="50" t="s">
        <v>80</v>
      </c>
      <c r="K46" s="4" t="s">
        <v>109</v>
      </c>
      <c r="L46" s="4"/>
      <c r="M46" s="4"/>
      <c r="N46" s="4"/>
    </row>
    <row r="47" spans="1:14" ht="15.75" x14ac:dyDescent="0.3">
      <c r="A47" s="59" t="s">
        <v>49</v>
      </c>
      <c r="B47" s="15">
        <f>(EXP(-139.3441+157570.1/(B35+273.15)+(-66423080/(B35+273.15)^2)+(12438000000/(B35+273.15)^3)+(-862194900000/(B35+273.15)^4)))*($B$27-101325*(EXP((((-216961*(1/(B35+273.15)))-3840.7)*(1/(B35+273.15))+11.8571))))/(101325-101325*(EXP((((-216961*(1/(B35+273.15)))-3840.7)*(1/(B35+273.15))+11.8571))))/((EXP(-139.3441+157570.1/(B35+273.15)+(-66423080/(B35+273.15)^2)+(12438000000/(B35+273.15)^3)+(-862194900000/(B35+273.15)^4)))*($B$27-101325*(EXP((((-216961*(1/(B35+273.15)))-3840.7)*(1/(B35+273.15))+11.8571))))/(101325-101325*(EXP((((-216961*(1/(B35+273.15)))-3840.7)*(1/(B35+273.15))+11.8571))))*EXP(-B34*(0.017674-10.754/(B35+273.15)+2140.7/((B35+273.15)^2))))</f>
        <v>1.0015748429809892</v>
      </c>
      <c r="C47" s="23" t="s">
        <v>50</v>
      </c>
      <c r="D47" s="24">
        <f>SQRT(SUMSQ(F47,I47,L47))</f>
        <v>4.5461800950275351E-4</v>
      </c>
      <c r="E47" s="25">
        <f>D47/B47</f>
        <v>4.53903183260547E-4</v>
      </c>
      <c r="F47" s="4">
        <f>(B47-1)*0.5/SQRT(3)</f>
        <v>4.5461800950275351E-4</v>
      </c>
      <c r="G47" s="28" t="s">
        <v>69</v>
      </c>
      <c r="H47" s="4"/>
      <c r="I47" s="4"/>
      <c r="J47" s="4"/>
      <c r="K47" s="4"/>
      <c r="L47" s="4"/>
      <c r="M47" s="4"/>
      <c r="N47" s="4"/>
    </row>
    <row r="48" spans="1:14" ht="15.75" x14ac:dyDescent="0.3">
      <c r="A48" s="9" t="s">
        <v>97</v>
      </c>
      <c r="B48" s="27">
        <v>0</v>
      </c>
      <c r="C48" s="23" t="s">
        <v>8</v>
      </c>
      <c r="D48" s="24">
        <f t="shared" si="0"/>
        <v>5.028778159086715E-2</v>
      </c>
      <c r="E48" s="25"/>
      <c r="F48" s="4">
        <f>B14*B36*B32/100/SQRT(3)</f>
        <v>5.028778159086715E-2</v>
      </c>
      <c r="G48" s="28" t="s">
        <v>105</v>
      </c>
      <c r="H48" s="4"/>
      <c r="I48" s="4"/>
      <c r="J48" s="4"/>
      <c r="K48" s="4"/>
      <c r="L48" s="4"/>
      <c r="M48" s="4"/>
      <c r="N48" s="4"/>
    </row>
    <row r="49" spans="1:16" ht="15.75" x14ac:dyDescent="0.3">
      <c r="A49" s="9" t="s">
        <v>98</v>
      </c>
      <c r="B49" s="27">
        <v>0</v>
      </c>
      <c r="C49" s="23" t="s">
        <v>8</v>
      </c>
      <c r="D49" s="24">
        <f t="shared" si="0"/>
        <v>5.3410914837340034E-3</v>
      </c>
      <c r="E49" s="25"/>
      <c r="F49" s="4">
        <f>(B35-B28)*B15/100*B32/SQRT(3)</f>
        <v>5.3410914837340034E-3</v>
      </c>
      <c r="G49" s="28" t="s">
        <v>106</v>
      </c>
      <c r="H49" s="4"/>
      <c r="I49" s="4"/>
      <c r="J49" s="4"/>
      <c r="K49" s="4"/>
      <c r="L49" s="4"/>
      <c r="M49" s="4"/>
      <c r="N49" s="4"/>
    </row>
    <row r="50" spans="1:16" ht="15.75" x14ac:dyDescent="0.3">
      <c r="A50" s="9" t="s">
        <v>99</v>
      </c>
      <c r="B50" s="27">
        <v>0</v>
      </c>
      <c r="C50" s="23" t="s">
        <v>8</v>
      </c>
      <c r="D50" s="24">
        <f t="shared" si="0"/>
        <v>0</v>
      </c>
      <c r="E50" s="25"/>
      <c r="F50" s="4">
        <f>(ABS(B16)+B17)*B37/SQRT(3)</f>
        <v>0</v>
      </c>
      <c r="G50" s="28" t="s">
        <v>127</v>
      </c>
      <c r="H50" s="4"/>
      <c r="I50" s="4"/>
      <c r="J50" s="4"/>
      <c r="K50" s="4"/>
      <c r="L50" s="4"/>
      <c r="M50" s="4"/>
      <c r="N50" s="4"/>
    </row>
    <row r="51" spans="1:16" x14ac:dyDescent="0.2">
      <c r="A51" s="9"/>
      <c r="B51" s="27"/>
      <c r="C51" s="23"/>
      <c r="D51" s="24"/>
      <c r="E51" s="25"/>
      <c r="G51" s="28"/>
    </row>
    <row r="52" spans="1:16" x14ac:dyDescent="0.2">
      <c r="A52" s="9"/>
      <c r="C52" s="23"/>
      <c r="D52" s="24"/>
      <c r="E52" s="29"/>
      <c r="G52" s="28"/>
    </row>
    <row r="53" spans="1:16" x14ac:dyDescent="0.2">
      <c r="A53" s="9"/>
      <c r="B53" s="27"/>
      <c r="C53" s="23"/>
      <c r="D53" s="24"/>
      <c r="E53" s="29"/>
      <c r="G53" s="28"/>
    </row>
    <row r="54" spans="1:16" ht="15" thickBot="1" x14ac:dyDescent="0.3">
      <c r="A54" s="17" t="s">
        <v>42</v>
      </c>
      <c r="B54" s="18" t="s">
        <v>4</v>
      </c>
      <c r="C54" s="19" t="s">
        <v>5</v>
      </c>
      <c r="D54" s="20" t="s">
        <v>43</v>
      </c>
      <c r="G54" s="9" t="s">
        <v>86</v>
      </c>
      <c r="H54" s="9" t="s">
        <v>87</v>
      </c>
      <c r="I54" s="9" t="s">
        <v>88</v>
      </c>
      <c r="J54" s="9" t="s">
        <v>89</v>
      </c>
      <c r="K54" s="9" t="s">
        <v>94</v>
      </c>
      <c r="L54" s="59" t="s">
        <v>49</v>
      </c>
      <c r="M54" s="9" t="s">
        <v>97</v>
      </c>
      <c r="N54" s="9" t="s">
        <v>98</v>
      </c>
      <c r="O54" s="9" t="s">
        <v>99</v>
      </c>
      <c r="P54" s="9"/>
    </row>
    <row r="55" spans="1:16" ht="14.25" x14ac:dyDescent="0.25">
      <c r="A55" s="9" t="s">
        <v>86</v>
      </c>
      <c r="B55" s="22">
        <f>B42</f>
        <v>0</v>
      </c>
      <c r="C55" s="23" t="s">
        <v>8</v>
      </c>
      <c r="D55" s="24">
        <f>D42</f>
        <v>2.0041623354076683E-2</v>
      </c>
      <c r="G55" s="30">
        <f>$B55+$D55</f>
        <v>2.0041623354076683E-2</v>
      </c>
      <c r="H55" s="1">
        <f t="shared" ref="H55:O55" si="1">$B55</f>
        <v>0</v>
      </c>
      <c r="I55" s="1">
        <f t="shared" si="1"/>
        <v>0</v>
      </c>
      <c r="J55" s="1">
        <f t="shared" si="1"/>
        <v>0</v>
      </c>
      <c r="K55" s="1">
        <f t="shared" si="1"/>
        <v>0</v>
      </c>
      <c r="L55" s="1">
        <f t="shared" si="1"/>
        <v>0</v>
      </c>
      <c r="M55" s="1">
        <f t="shared" si="1"/>
        <v>0</v>
      </c>
      <c r="N55" s="1">
        <f t="shared" si="1"/>
        <v>0</v>
      </c>
      <c r="O55" s="1">
        <f t="shared" si="1"/>
        <v>0</v>
      </c>
      <c r="P55" s="16"/>
    </row>
    <row r="56" spans="1:16" ht="14.25" x14ac:dyDescent="0.25">
      <c r="A56" s="9" t="s">
        <v>87</v>
      </c>
      <c r="B56" s="22">
        <f t="shared" ref="B56:B63" si="2">B43</f>
        <v>8.98</v>
      </c>
      <c r="C56" s="23" t="s">
        <v>8</v>
      </c>
      <c r="D56" s="24">
        <f t="shared" ref="D56:D63" si="3">D43</f>
        <v>2.0041623354076728E-2</v>
      </c>
      <c r="G56" s="1">
        <f t="shared" ref="G56:O63" si="4">$B56</f>
        <v>8.98</v>
      </c>
      <c r="H56" s="30">
        <f>$B56+$D56</f>
        <v>9.0000416233540772</v>
      </c>
      <c r="I56" s="1">
        <f t="shared" si="4"/>
        <v>8.98</v>
      </c>
      <c r="J56" s="1">
        <f t="shared" si="4"/>
        <v>8.98</v>
      </c>
      <c r="K56" s="1">
        <f t="shared" si="4"/>
        <v>8.98</v>
      </c>
      <c r="L56" s="1">
        <f t="shared" si="4"/>
        <v>8.98</v>
      </c>
      <c r="M56" s="1">
        <f t="shared" si="4"/>
        <v>8.98</v>
      </c>
      <c r="N56" s="1">
        <f t="shared" si="4"/>
        <v>8.98</v>
      </c>
      <c r="O56" s="1">
        <f t="shared" si="4"/>
        <v>8.98</v>
      </c>
      <c r="P56" s="16"/>
    </row>
    <row r="57" spans="1:16" ht="14.25" x14ac:dyDescent="0.25">
      <c r="A57" s="9" t="s">
        <v>88</v>
      </c>
      <c r="B57" s="22">
        <f t="shared" si="2"/>
        <v>0</v>
      </c>
      <c r="C57" s="23" t="s">
        <v>8</v>
      </c>
      <c r="D57" s="24">
        <f t="shared" si="3"/>
        <v>5.773502691896258E-3</v>
      </c>
      <c r="G57" s="1">
        <f t="shared" si="4"/>
        <v>0</v>
      </c>
      <c r="H57" s="1">
        <f t="shared" si="4"/>
        <v>0</v>
      </c>
      <c r="I57" s="30">
        <f>$B57+$D57</f>
        <v>5.773502691896258E-3</v>
      </c>
      <c r="J57" s="1">
        <f t="shared" si="4"/>
        <v>0</v>
      </c>
      <c r="K57" s="1">
        <f t="shared" si="4"/>
        <v>0</v>
      </c>
      <c r="L57" s="1">
        <f t="shared" si="4"/>
        <v>0</v>
      </c>
      <c r="M57" s="1">
        <f t="shared" si="4"/>
        <v>0</v>
      </c>
      <c r="N57" s="1">
        <f t="shared" si="4"/>
        <v>0</v>
      </c>
      <c r="O57" s="1">
        <f t="shared" si="4"/>
        <v>0</v>
      </c>
      <c r="P57" s="16"/>
    </row>
    <row r="58" spans="1:16" ht="14.25" x14ac:dyDescent="0.25">
      <c r="A58" s="9" t="s">
        <v>89</v>
      </c>
      <c r="B58" s="22">
        <f t="shared" si="2"/>
        <v>8.9792439550701673</v>
      </c>
      <c r="C58" s="23" t="s">
        <v>8</v>
      </c>
      <c r="D58" s="24">
        <f t="shared" si="3"/>
        <v>3.1E-2</v>
      </c>
      <c r="G58" s="1">
        <f t="shared" si="4"/>
        <v>8.9792439550701673</v>
      </c>
      <c r="H58" s="1">
        <f t="shared" si="4"/>
        <v>8.9792439550701673</v>
      </c>
      <c r="I58" s="1">
        <f t="shared" si="4"/>
        <v>8.9792439550701673</v>
      </c>
      <c r="J58" s="30">
        <f>$B58+$D58</f>
        <v>9.0102439550701678</v>
      </c>
      <c r="K58" s="1">
        <f t="shared" si="4"/>
        <v>8.9792439550701673</v>
      </c>
      <c r="L58" s="1">
        <f t="shared" si="4"/>
        <v>8.9792439550701673</v>
      </c>
      <c r="M58" s="1">
        <f t="shared" si="4"/>
        <v>8.9792439550701673</v>
      </c>
      <c r="N58" s="1">
        <f t="shared" si="4"/>
        <v>8.9792439550701673</v>
      </c>
      <c r="O58" s="1">
        <f t="shared" si="4"/>
        <v>8.9792439550701673</v>
      </c>
      <c r="P58" s="16"/>
    </row>
    <row r="59" spans="1:16" ht="14.25" x14ac:dyDescent="0.25">
      <c r="A59" s="9" t="s">
        <v>94</v>
      </c>
      <c r="B59" s="22">
        <f t="shared" si="2"/>
        <v>11.92</v>
      </c>
      <c r="C59" s="23" t="s">
        <v>8</v>
      </c>
      <c r="D59" s="24">
        <f t="shared" si="3"/>
        <v>5.1269314921055138E-2</v>
      </c>
      <c r="E59" s="6"/>
      <c r="G59" s="1">
        <f t="shared" si="4"/>
        <v>11.92</v>
      </c>
      <c r="H59" s="1">
        <f t="shared" si="4"/>
        <v>11.92</v>
      </c>
      <c r="I59" s="1">
        <f t="shared" si="4"/>
        <v>11.92</v>
      </c>
      <c r="J59" s="1">
        <f t="shared" si="4"/>
        <v>11.92</v>
      </c>
      <c r="K59" s="30">
        <f>$B59+$D59</f>
        <v>11.971269314921056</v>
      </c>
      <c r="L59" s="1">
        <f t="shared" si="4"/>
        <v>11.92</v>
      </c>
      <c r="M59" s="1">
        <f t="shared" si="4"/>
        <v>11.92</v>
      </c>
      <c r="N59" s="1">
        <f t="shared" si="4"/>
        <v>11.92</v>
      </c>
      <c r="O59" s="1">
        <f t="shared" si="4"/>
        <v>11.92</v>
      </c>
      <c r="P59" s="16"/>
    </row>
    <row r="60" spans="1:16" x14ac:dyDescent="0.2">
      <c r="A60" s="59" t="s">
        <v>49</v>
      </c>
      <c r="B60" s="22">
        <f t="shared" si="2"/>
        <v>1.0015748429809892</v>
      </c>
      <c r="C60" s="23" t="s">
        <v>50</v>
      </c>
      <c r="D60" s="24">
        <f t="shared" si="3"/>
        <v>4.5461800950275351E-4</v>
      </c>
      <c r="G60" s="1">
        <f t="shared" si="4"/>
        <v>1.0015748429809892</v>
      </c>
      <c r="H60" s="1">
        <f t="shared" si="4"/>
        <v>1.0015748429809892</v>
      </c>
      <c r="I60" s="1">
        <f t="shared" si="4"/>
        <v>1.0015748429809892</v>
      </c>
      <c r="J60" s="1">
        <f t="shared" si="4"/>
        <v>1.0015748429809892</v>
      </c>
      <c r="K60" s="1">
        <f t="shared" si="4"/>
        <v>1.0015748429809892</v>
      </c>
      <c r="L60" s="30">
        <f>$B60+$D60</f>
        <v>1.0020294609904921</v>
      </c>
      <c r="M60" s="1">
        <f t="shared" si="4"/>
        <v>1.0015748429809892</v>
      </c>
      <c r="N60" s="1">
        <f t="shared" si="4"/>
        <v>1.0015748429809892</v>
      </c>
      <c r="O60" s="1">
        <f t="shared" si="4"/>
        <v>1.0015748429809892</v>
      </c>
      <c r="P60" s="16"/>
    </row>
    <row r="61" spans="1:16" ht="14.25" x14ac:dyDescent="0.25">
      <c r="A61" s="9" t="s">
        <v>97</v>
      </c>
      <c r="B61" s="22">
        <f t="shared" si="2"/>
        <v>0</v>
      </c>
      <c r="C61" s="23" t="s">
        <v>8</v>
      </c>
      <c r="D61" s="24">
        <f t="shared" si="3"/>
        <v>5.028778159086715E-2</v>
      </c>
      <c r="G61" s="1">
        <f t="shared" si="4"/>
        <v>0</v>
      </c>
      <c r="H61" s="1">
        <f t="shared" si="4"/>
        <v>0</v>
      </c>
      <c r="I61" s="1">
        <f t="shared" si="4"/>
        <v>0</v>
      </c>
      <c r="J61" s="1">
        <f t="shared" si="4"/>
        <v>0</v>
      </c>
      <c r="K61" s="1">
        <f t="shared" si="4"/>
        <v>0</v>
      </c>
      <c r="L61" s="1">
        <f t="shared" si="4"/>
        <v>0</v>
      </c>
      <c r="M61" s="30">
        <f>$B61+$D61</f>
        <v>5.028778159086715E-2</v>
      </c>
      <c r="N61" s="1">
        <f t="shared" si="4"/>
        <v>0</v>
      </c>
      <c r="O61" s="1">
        <f t="shared" si="4"/>
        <v>0</v>
      </c>
      <c r="P61" s="16"/>
    </row>
    <row r="62" spans="1:16" ht="14.25" x14ac:dyDescent="0.25">
      <c r="A62" s="9" t="s">
        <v>98</v>
      </c>
      <c r="B62" s="22">
        <f t="shared" si="2"/>
        <v>0</v>
      </c>
      <c r="C62" s="23" t="s">
        <v>8</v>
      </c>
      <c r="D62" s="24">
        <f t="shared" si="3"/>
        <v>5.3410914837340034E-3</v>
      </c>
      <c r="G62" s="1">
        <f t="shared" si="4"/>
        <v>0</v>
      </c>
      <c r="H62" s="1">
        <f t="shared" si="4"/>
        <v>0</v>
      </c>
      <c r="I62" s="1">
        <f t="shared" si="4"/>
        <v>0</v>
      </c>
      <c r="J62" s="1">
        <f t="shared" si="4"/>
        <v>0</v>
      </c>
      <c r="K62" s="1">
        <f t="shared" si="4"/>
        <v>0</v>
      </c>
      <c r="L62" s="1">
        <f t="shared" si="4"/>
        <v>0</v>
      </c>
      <c r="M62" s="1">
        <f t="shared" si="4"/>
        <v>0</v>
      </c>
      <c r="N62" s="30">
        <f>$B62+$D62</f>
        <v>5.3410914837340034E-3</v>
      </c>
      <c r="O62" s="1">
        <f t="shared" si="4"/>
        <v>0</v>
      </c>
      <c r="P62" s="16"/>
    </row>
    <row r="63" spans="1:16" ht="14.25" x14ac:dyDescent="0.25">
      <c r="A63" s="9" t="s">
        <v>99</v>
      </c>
      <c r="B63" s="22">
        <f t="shared" si="2"/>
        <v>0</v>
      </c>
      <c r="C63" s="23" t="s">
        <v>8</v>
      </c>
      <c r="D63" s="24">
        <f t="shared" si="3"/>
        <v>0</v>
      </c>
      <c r="G63" s="1">
        <f t="shared" si="4"/>
        <v>0</v>
      </c>
      <c r="H63" s="1">
        <f t="shared" si="4"/>
        <v>0</v>
      </c>
      <c r="I63" s="1">
        <f t="shared" si="4"/>
        <v>0</v>
      </c>
      <c r="J63" s="1">
        <f t="shared" si="4"/>
        <v>0</v>
      </c>
      <c r="K63" s="1">
        <f t="shared" si="4"/>
        <v>0</v>
      </c>
      <c r="L63" s="1">
        <f t="shared" si="4"/>
        <v>0</v>
      </c>
      <c r="M63" s="1">
        <f t="shared" si="4"/>
        <v>0</v>
      </c>
      <c r="N63" s="1">
        <f t="shared" si="4"/>
        <v>0</v>
      </c>
      <c r="O63" s="30">
        <f>$B63+$D63</f>
        <v>0</v>
      </c>
      <c r="P63" s="16"/>
    </row>
    <row r="64" spans="1:16" x14ac:dyDescent="0.2">
      <c r="A64" s="9"/>
      <c r="B64" s="22"/>
      <c r="C64" s="23"/>
      <c r="D64" s="24"/>
      <c r="P64" s="16"/>
    </row>
    <row r="65" spans="1:16" x14ac:dyDescent="0.2">
      <c r="P65" s="16"/>
    </row>
    <row r="66" spans="1:16" ht="15.75" x14ac:dyDescent="0.3">
      <c r="A66" s="4" t="s">
        <v>51</v>
      </c>
      <c r="B66" s="31">
        <f>(B59+B61+B62+B63)/B60/((B56-B55)/(B58-B57))-((B55*B58-B57*B56)/(B58-B57))/((B56-B55)/(B58-B57))</f>
        <v>11.900255396654726</v>
      </c>
      <c r="C66" s="23" t="s">
        <v>8</v>
      </c>
      <c r="E66" s="51"/>
      <c r="F66" s="51"/>
      <c r="G66" s="31">
        <f>(G59+G61+G62+G63)/G60/((G56-G55)/(G58-G57))-((G55*G58-G57*G56)/(G58-G57))/((G56-G55)/(G58-G57))</f>
        <v>11.906789111284226</v>
      </c>
      <c r="H66" s="31">
        <f t="shared" ref="H66:O66" si="5">(H59+H61+H62+H63)/H60/((H56-H55)/(H58-H57))-((H55*H58-H57*H56)/(H58-H57))/((H56-H55)/(H58-H57))</f>
        <v>11.873755470714586</v>
      </c>
      <c r="I66" s="31">
        <f t="shared" si="5"/>
        <v>11.89837723547485</v>
      </c>
      <c r="J66" s="31">
        <f t="shared" si="5"/>
        <v>11.94133991547861</v>
      </c>
      <c r="K66" s="31">
        <f t="shared" si="5"/>
        <v>11.951439787726212</v>
      </c>
      <c r="L66" s="31">
        <f t="shared" si="5"/>
        <v>11.894856283523209</v>
      </c>
      <c r="M66" s="31">
        <f t="shared" si="5"/>
        <v>11.950459880233797</v>
      </c>
      <c r="N66" s="31">
        <f t="shared" si="5"/>
        <v>11.905587641013229</v>
      </c>
      <c r="O66" s="31">
        <f t="shared" si="5"/>
        <v>11.900255396654726</v>
      </c>
      <c r="P66" s="16"/>
    </row>
    <row r="67" spans="1:16" ht="15.75" x14ac:dyDescent="0.3">
      <c r="A67" s="4" t="s">
        <v>52</v>
      </c>
      <c r="B67" s="32">
        <f>SQRT(O69)</f>
        <v>8.737457291115025E-2</v>
      </c>
      <c r="C67" s="4" t="s">
        <v>8</v>
      </c>
      <c r="G67" s="1">
        <f>G66-$B$66</f>
        <v>6.5337146294996984E-3</v>
      </c>
      <c r="H67" s="1">
        <f t="shared" ref="H67:O67" si="6">H66-$B$66</f>
        <v>-2.6499925940139946E-2</v>
      </c>
      <c r="I67" s="1">
        <f t="shared" si="6"/>
        <v>-1.8781611798761588E-3</v>
      </c>
      <c r="J67" s="1">
        <f t="shared" si="6"/>
        <v>4.1084518823883087E-2</v>
      </c>
      <c r="K67" s="1">
        <f t="shared" si="6"/>
        <v>5.1184391071485535E-2</v>
      </c>
      <c r="L67" s="1">
        <f t="shared" si="6"/>
        <v>-5.399113131517197E-3</v>
      </c>
      <c r="M67" s="1">
        <f t="shared" si="6"/>
        <v>5.0204483579070924E-2</v>
      </c>
      <c r="N67" s="1">
        <f t="shared" si="6"/>
        <v>5.3322443585024359E-3</v>
      </c>
      <c r="O67" s="1">
        <f t="shared" si="6"/>
        <v>0</v>
      </c>
      <c r="P67" s="16"/>
    </row>
    <row r="68" spans="1:16" ht="15.75" x14ac:dyDescent="0.3">
      <c r="A68" s="33" t="s">
        <v>53</v>
      </c>
      <c r="B68" s="34">
        <f>B67*2</f>
        <v>0.1747491458223005</v>
      </c>
      <c r="C68" s="33" t="s">
        <v>54</v>
      </c>
      <c r="G68" s="1">
        <f>G67^2</f>
        <v>4.2689426859738383E-5</v>
      </c>
      <c r="H68" s="1">
        <f t="shared" ref="H68:O68" si="7">H67^2</f>
        <v>7.0224607483290193E-4</v>
      </c>
      <c r="I68" s="1">
        <f t="shared" si="7"/>
        <v>3.527489417593805E-6</v>
      </c>
      <c r="J68" s="1">
        <f t="shared" si="7"/>
        <v>1.6879376869900038E-3</v>
      </c>
      <c r="K68" s="1">
        <f t="shared" si="7"/>
        <v>2.6198418893587684E-3</v>
      </c>
      <c r="L68" s="1">
        <f t="shared" si="7"/>
        <v>2.9150422606921433E-5</v>
      </c>
      <c r="M68" s="1">
        <f t="shared" si="7"/>
        <v>2.5204901714412022E-3</v>
      </c>
      <c r="N68" s="1">
        <f t="shared" si="7"/>
        <v>2.8432829898781056E-5</v>
      </c>
      <c r="O68" s="1">
        <f t="shared" si="7"/>
        <v>0</v>
      </c>
      <c r="P68" s="16"/>
    </row>
    <row r="69" spans="1:16" ht="15.75" x14ac:dyDescent="0.3">
      <c r="A69" s="33" t="s">
        <v>70</v>
      </c>
      <c r="B69" s="53">
        <f>B68/B66*100</f>
        <v>1.4684487012894205</v>
      </c>
      <c r="C69" s="33" t="s">
        <v>71</v>
      </c>
      <c r="O69" s="1">
        <f>SUM(G68:O68)</f>
        <v>7.6343159914059105E-3</v>
      </c>
      <c r="P69" s="16"/>
    </row>
    <row r="70" spans="1:16" ht="15" x14ac:dyDescent="0.25">
      <c r="B70" s="4"/>
      <c r="E70" s="4" t="s">
        <v>55</v>
      </c>
      <c r="G70" s="89">
        <f t="shared" ref="G70:O70" si="8">G68/$O$69</f>
        <v>5.5917814913339524E-3</v>
      </c>
      <c r="H70" s="89">
        <f t="shared" si="8"/>
        <v>9.1985460861645399E-2</v>
      </c>
      <c r="I70" s="89">
        <f t="shared" si="8"/>
        <v>4.6205703583199393E-4</v>
      </c>
      <c r="J70" s="89">
        <f t="shared" si="8"/>
        <v>0.22109874530870169</v>
      </c>
      <c r="K70" s="89">
        <f t="shared" si="8"/>
        <v>0.3431665511760284</v>
      </c>
      <c r="L70" s="89">
        <f t="shared" si="8"/>
        <v>3.8183411113368372E-3</v>
      </c>
      <c r="M70" s="89">
        <f t="shared" si="8"/>
        <v>0.33015271758184545</v>
      </c>
      <c r="N70" s="89">
        <f t="shared" si="8"/>
        <v>3.7243454332763293E-3</v>
      </c>
      <c r="O70" s="89">
        <f t="shared" si="8"/>
        <v>0</v>
      </c>
      <c r="P70" s="54"/>
    </row>
    <row r="71" spans="1:16" x14ac:dyDescent="0.2">
      <c r="O71" s="52">
        <f>SUM(G70:O70)</f>
        <v>1</v>
      </c>
      <c r="P71" s="16"/>
    </row>
  </sheetData>
  <mergeCells count="4">
    <mergeCell ref="A40:E40"/>
    <mergeCell ref="F40:K40"/>
    <mergeCell ref="F41:H41"/>
    <mergeCell ref="I41:K41"/>
  </mergeCells>
  <pageMargins left="0.7" right="0.7" top="0.75" bottom="0.75" header="0.3" footer="0.3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6385" r:id="rId4">
          <objectPr defaultSize="0" autoPict="0" r:id="rId5">
            <anchor moveWithCells="1" sizeWithCells="1">
              <from>
                <xdr:col>6</xdr:col>
                <xdr:colOff>161925</xdr:colOff>
                <xdr:row>2</xdr:row>
                <xdr:rowOff>85725</xdr:rowOff>
              </from>
              <to>
                <xdr:col>9</xdr:col>
                <xdr:colOff>190500</xdr:colOff>
                <xdr:row>5</xdr:row>
                <xdr:rowOff>57150</xdr:rowOff>
              </to>
            </anchor>
          </objectPr>
        </oleObject>
      </mc:Choice>
      <mc:Fallback>
        <oleObject progId="Equation.3" shapeId="16385" r:id="rId4"/>
      </mc:Fallback>
    </mc:AlternateContent>
    <mc:AlternateContent xmlns:mc="http://schemas.openxmlformats.org/markup-compatibility/2006">
      <mc:Choice Requires="x14">
        <oleObject progId="Equation.3" shapeId="16386" r:id="rId6">
          <objectPr defaultSize="0" autoPict="0" r:id="rId7">
            <anchor moveWithCells="1" sizeWithCells="1">
              <from>
                <xdr:col>9</xdr:col>
                <xdr:colOff>514350</xdr:colOff>
                <xdr:row>2</xdr:row>
                <xdr:rowOff>9525</xdr:rowOff>
              </from>
              <to>
                <xdr:col>12</xdr:col>
                <xdr:colOff>85725</xdr:colOff>
                <xdr:row>4</xdr:row>
                <xdr:rowOff>142875</xdr:rowOff>
              </to>
            </anchor>
          </objectPr>
        </oleObject>
      </mc:Choice>
      <mc:Fallback>
        <oleObject progId="Equation.3" shapeId="16386" r:id="rId6"/>
      </mc:Fallback>
    </mc:AlternateContent>
    <mc:AlternateContent xmlns:mc="http://schemas.openxmlformats.org/markup-compatibility/2006">
      <mc:Choice Requires="x14">
        <oleObject progId="Equation.3" shapeId="16387" r:id="rId8">
          <objectPr defaultSize="0" autoPict="0" r:id="rId9">
            <anchor moveWithCells="1" sizeWithCells="1">
              <from>
                <xdr:col>0</xdr:col>
                <xdr:colOff>533400</xdr:colOff>
                <xdr:row>2</xdr:row>
                <xdr:rowOff>57150</xdr:rowOff>
              </from>
              <to>
                <xdr:col>5</xdr:col>
                <xdr:colOff>381000</xdr:colOff>
                <xdr:row>5</xdr:row>
                <xdr:rowOff>28575</xdr:rowOff>
              </to>
            </anchor>
          </objectPr>
        </oleObject>
      </mc:Choice>
      <mc:Fallback>
        <oleObject progId="Equation.3" shapeId="16387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2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13.42578125" style="1" customWidth="1"/>
    <col min="3" max="3" width="9.140625" style="1"/>
    <col min="4" max="4" width="9.42578125" style="1" bestFit="1" customWidth="1"/>
    <col min="5" max="5" width="12.42578125" style="1" bestFit="1" customWidth="1"/>
    <col min="6" max="6" width="12.7109375" style="1" bestFit="1" customWidth="1"/>
    <col min="7" max="7" width="12.140625" style="1" bestFit="1" customWidth="1"/>
    <col min="8" max="22" width="9.140625" style="1"/>
    <col min="23" max="23" width="12.140625" style="1" customWidth="1"/>
    <col min="24" max="16384" width="9.140625" style="1"/>
  </cols>
  <sheetData>
    <row r="1" spans="1:13" ht="12.95" x14ac:dyDescent="0.3">
      <c r="A1" s="5" t="s">
        <v>191</v>
      </c>
    </row>
    <row r="2" spans="1:13" ht="12.95" x14ac:dyDescent="0.3">
      <c r="A2" s="5" t="s">
        <v>190</v>
      </c>
    </row>
    <row r="4" spans="1:13" ht="12.6" customHeight="1" x14ac:dyDescent="0.3">
      <c r="A4" s="5"/>
    </row>
    <row r="5" spans="1:13" ht="12.6" x14ac:dyDescent="0.25">
      <c r="A5" s="6"/>
    </row>
    <row r="6" spans="1:13" ht="12.6" x14ac:dyDescent="0.25">
      <c r="A6" s="4"/>
    </row>
    <row r="8" spans="1:13" s="2" customFormat="1" ht="18" x14ac:dyDescent="0.4">
      <c r="A8" s="7" t="s">
        <v>2</v>
      </c>
    </row>
    <row r="9" spans="1:13" s="36" customFormat="1" ht="11.45" x14ac:dyDescent="0.25">
      <c r="A9" s="36" t="s">
        <v>60</v>
      </c>
    </row>
    <row r="10" spans="1:13" s="36" customFormat="1" ht="14.45" customHeight="1" x14ac:dyDescent="0.4">
      <c r="A10" s="9" t="s">
        <v>78</v>
      </c>
      <c r="B10" s="39">
        <v>3.9025485336470337E-3</v>
      </c>
      <c r="C10" s="38" t="s">
        <v>8</v>
      </c>
      <c r="D10" s="38" t="s">
        <v>57</v>
      </c>
      <c r="E10" s="42"/>
    </row>
    <row r="11" spans="1:13" s="36" customFormat="1" ht="14.45" customHeight="1" x14ac:dyDescent="0.4">
      <c r="A11" s="9" t="s">
        <v>79</v>
      </c>
      <c r="B11" s="39">
        <v>4.913036844405071E-3</v>
      </c>
      <c r="C11" s="38" t="s">
        <v>8</v>
      </c>
      <c r="D11" s="38" t="s">
        <v>61</v>
      </c>
      <c r="E11" s="42"/>
    </row>
    <row r="12" spans="1:13" s="36" customFormat="1" ht="14.45" customHeight="1" x14ac:dyDescent="0.4">
      <c r="A12" s="9" t="s">
        <v>80</v>
      </c>
      <c r="B12" s="39">
        <v>6.8643950719533137E-2</v>
      </c>
      <c r="C12" s="38" t="s">
        <v>8</v>
      </c>
      <c r="D12" s="38" t="s">
        <v>58</v>
      </c>
      <c r="E12" s="38"/>
      <c r="F12" s="37"/>
      <c r="G12" s="37"/>
      <c r="K12" s="41"/>
      <c r="L12" s="41"/>
      <c r="M12" s="41"/>
    </row>
    <row r="13" spans="1:13" s="36" customFormat="1" ht="14.45" customHeight="1" x14ac:dyDescent="0.4">
      <c r="A13" s="9" t="s">
        <v>81</v>
      </c>
      <c r="B13" s="37">
        <v>3.1E-2</v>
      </c>
      <c r="C13" s="38" t="s">
        <v>8</v>
      </c>
      <c r="D13" s="55" t="s">
        <v>203</v>
      </c>
      <c r="E13" s="38"/>
      <c r="F13" s="37"/>
      <c r="G13" s="37"/>
    </row>
    <row r="14" spans="1:13" s="36" customFormat="1" ht="14.45" customHeight="1" x14ac:dyDescent="0.4">
      <c r="A14" s="9" t="s">
        <v>82</v>
      </c>
      <c r="B14" s="43">
        <v>-9.4244609374349484E-4</v>
      </c>
      <c r="C14" s="38" t="s">
        <v>122</v>
      </c>
      <c r="D14" s="38" t="s">
        <v>62</v>
      </c>
      <c r="E14" s="38"/>
      <c r="F14" s="37"/>
      <c r="G14" s="37"/>
    </row>
    <row r="15" spans="1:13" s="36" customFormat="1" ht="14.45" customHeight="1" x14ac:dyDescent="0.25">
      <c r="A15" s="9" t="s">
        <v>83</v>
      </c>
      <c r="B15" s="44">
        <v>2.436875013221735E-2</v>
      </c>
      <c r="C15" s="38" t="s">
        <v>63</v>
      </c>
      <c r="D15" s="38" t="s">
        <v>64</v>
      </c>
      <c r="E15" s="38"/>
      <c r="F15" s="37"/>
      <c r="G15" s="37"/>
    </row>
    <row r="16" spans="1:13" s="36" customFormat="1" ht="14.45" customHeight="1" x14ac:dyDescent="0.4">
      <c r="A16" s="72" t="s">
        <v>125</v>
      </c>
      <c r="B16" s="39">
        <v>-7.8995010564227898E-3</v>
      </c>
      <c r="C16" s="38" t="s">
        <v>8</v>
      </c>
      <c r="D16" s="38" t="s">
        <v>126</v>
      </c>
      <c r="E16" s="38"/>
      <c r="F16" s="37"/>
      <c r="G16" s="37"/>
    </row>
    <row r="17" spans="1:21" s="36" customFormat="1" ht="14.45" customHeight="1" x14ac:dyDescent="0.4">
      <c r="A17" s="72" t="s">
        <v>123</v>
      </c>
      <c r="B17" s="39">
        <v>8.493146873257047E-4</v>
      </c>
      <c r="C17" s="38" t="s">
        <v>8</v>
      </c>
      <c r="D17" s="38" t="s">
        <v>124</v>
      </c>
      <c r="E17" s="38"/>
      <c r="F17" s="37"/>
      <c r="G17" s="37"/>
    </row>
    <row r="18" spans="1:21" s="36" customFormat="1" ht="14.45" customHeight="1" x14ac:dyDescent="0.4">
      <c r="A18" s="9" t="s">
        <v>85</v>
      </c>
      <c r="B18" s="39">
        <v>2.7664860087933483E-2</v>
      </c>
      <c r="C18" s="38" t="s">
        <v>50</v>
      </c>
      <c r="D18" s="38" t="s">
        <v>65</v>
      </c>
      <c r="E18" s="37"/>
      <c r="F18" s="37"/>
      <c r="G18" s="37"/>
    </row>
    <row r="19" spans="1:21" s="36" customFormat="1" ht="14.45" customHeight="1" x14ac:dyDescent="0.25">
      <c r="A19" s="37"/>
      <c r="B19" s="37"/>
      <c r="C19" s="37"/>
      <c r="D19" s="37"/>
      <c r="E19" s="37"/>
      <c r="F19" s="37"/>
      <c r="G19" s="37"/>
    </row>
    <row r="20" spans="1:21" ht="12.95" x14ac:dyDescent="0.3">
      <c r="A20" s="2" t="s">
        <v>3</v>
      </c>
    </row>
    <row r="21" spans="1:21" ht="12.95" x14ac:dyDescent="0.3">
      <c r="A21" s="2"/>
      <c r="B21" s="2" t="s">
        <v>4</v>
      </c>
      <c r="C21" s="2" t="s">
        <v>5</v>
      </c>
      <c r="D21" s="2" t="s">
        <v>6</v>
      </c>
    </row>
    <row r="22" spans="1:21" ht="12.95" x14ac:dyDescent="0.3">
      <c r="A22" s="2" t="s">
        <v>7</v>
      </c>
      <c r="B22" s="8"/>
      <c r="C22" s="2"/>
      <c r="D22" s="2"/>
    </row>
    <row r="23" spans="1:21" ht="15" x14ac:dyDescent="0.4">
      <c r="A23" s="9" t="s">
        <v>86</v>
      </c>
      <c r="B23" s="10">
        <v>0</v>
      </c>
      <c r="C23" s="4" t="s">
        <v>8</v>
      </c>
      <c r="D23" s="4" t="s">
        <v>9</v>
      </c>
    </row>
    <row r="24" spans="1:21" ht="15" x14ac:dyDescent="0.4">
      <c r="A24" s="9" t="s">
        <v>87</v>
      </c>
      <c r="B24" s="10">
        <v>9.0299999999999994</v>
      </c>
      <c r="C24" s="4" t="s">
        <v>8</v>
      </c>
      <c r="D24" s="4" t="s">
        <v>10</v>
      </c>
      <c r="L24" s="4" t="s">
        <v>200</v>
      </c>
    </row>
    <row r="25" spans="1:21" ht="15" x14ac:dyDescent="0.4">
      <c r="A25" s="9" t="s">
        <v>88</v>
      </c>
      <c r="B25" s="8">
        <v>0</v>
      </c>
      <c r="C25" s="4" t="s">
        <v>8</v>
      </c>
      <c r="D25" s="4" t="s">
        <v>72</v>
      </c>
      <c r="L25" s="4" t="s">
        <v>12</v>
      </c>
      <c r="M25" s="1">
        <v>8.0000000000000002E-3</v>
      </c>
      <c r="Q25" s="35"/>
      <c r="R25" s="35"/>
      <c r="S25" s="35"/>
      <c r="T25" s="35"/>
      <c r="U25" s="35"/>
    </row>
    <row r="26" spans="1:21" ht="15" x14ac:dyDescent="0.25">
      <c r="A26" s="9" t="s">
        <v>89</v>
      </c>
      <c r="B26" s="11">
        <f>(EXP(-139.3441+157570.1/(B27+273.15)+(-66423080/(B27+273.15)^2)+(12438000000/(B27+273.15)^3)+(-862194900000/(B27+273.15)^4)))*(B28-101325*(EXP((((-216961*(1/(B27+273.15)))-3840.7)*(1/(B27+273.15))+11.8571))))/(101325-101325*(EXP((((-216961*(1/(B27+273.15)))-3840.7)*(1/(B27+273.15))+11.8571))))</f>
        <v>8.9792439550701673</v>
      </c>
      <c r="C26" s="4" t="s">
        <v>8</v>
      </c>
      <c r="D26" s="4" t="s">
        <v>198</v>
      </c>
      <c r="L26" s="4" t="s">
        <v>15</v>
      </c>
      <c r="M26" s="1">
        <v>-0.16919999999999999</v>
      </c>
      <c r="O26" s="4" t="s">
        <v>75</v>
      </c>
      <c r="Q26" s="35"/>
      <c r="R26" s="35"/>
      <c r="S26" s="35"/>
      <c r="T26" s="35"/>
      <c r="U26" s="35"/>
    </row>
    <row r="27" spans="1:21" ht="15.75" x14ac:dyDescent="0.3">
      <c r="A27" s="8" t="s">
        <v>90</v>
      </c>
      <c r="B27" s="10">
        <v>19.908999999999999</v>
      </c>
      <c r="C27" s="4" t="s">
        <v>13</v>
      </c>
      <c r="D27" s="4" t="s">
        <v>14</v>
      </c>
      <c r="L27" s="4" t="s">
        <v>17</v>
      </c>
      <c r="M27" s="1">
        <v>25.385100000000001</v>
      </c>
      <c r="O27" s="1">
        <f>42.914*1.25608904610271</f>
        <v>53.903805324451703</v>
      </c>
      <c r="P27" s="1" t="s">
        <v>11</v>
      </c>
    </row>
    <row r="28" spans="1:21" ht="15.95" x14ac:dyDescent="0.4">
      <c r="A28" s="8" t="s">
        <v>91</v>
      </c>
      <c r="B28" s="12">
        <v>99915</v>
      </c>
      <c r="C28" s="4" t="s">
        <v>1</v>
      </c>
      <c r="D28" s="4" t="s">
        <v>16</v>
      </c>
      <c r="L28" s="4" t="s">
        <v>19</v>
      </c>
      <c r="M28" s="1">
        <v>14.094099999999999</v>
      </c>
      <c r="O28" s="35" t="s">
        <v>76</v>
      </c>
      <c r="P28" s="35"/>
    </row>
    <row r="29" spans="1:21" ht="15.75" x14ac:dyDescent="0.3">
      <c r="A29" s="8" t="s">
        <v>92</v>
      </c>
      <c r="B29" s="10">
        <v>20.100000000000001</v>
      </c>
      <c r="C29" s="4" t="s">
        <v>13</v>
      </c>
      <c r="D29" s="4" t="s">
        <v>18</v>
      </c>
      <c r="L29" s="4" t="s">
        <v>21</v>
      </c>
      <c r="M29" s="1">
        <v>-7.0260999999999996</v>
      </c>
      <c r="O29" s="56" t="s">
        <v>73</v>
      </c>
      <c r="P29" s="35" t="s">
        <v>56</v>
      </c>
    </row>
    <row r="30" spans="1:21" ht="15.75" x14ac:dyDescent="0.3">
      <c r="A30" s="8" t="s">
        <v>93</v>
      </c>
      <c r="B30" s="10">
        <v>100100</v>
      </c>
      <c r="C30" s="4" t="s">
        <v>1</v>
      </c>
      <c r="D30" s="4" t="s">
        <v>20</v>
      </c>
      <c r="L30" s="4" t="s">
        <v>22</v>
      </c>
      <c r="M30" s="1">
        <v>2.7081</v>
      </c>
      <c r="O30" s="56" t="s">
        <v>201</v>
      </c>
      <c r="P30" s="35" t="s">
        <v>74</v>
      </c>
    </row>
    <row r="31" spans="1:21" ht="12.6" x14ac:dyDescent="0.25">
      <c r="A31" s="46"/>
      <c r="B31" s="47"/>
      <c r="C31" s="6"/>
      <c r="D31" s="48"/>
      <c r="L31" s="4" t="s">
        <v>24</v>
      </c>
      <c r="M31" s="1">
        <v>5.0000000000000001E-4</v>
      </c>
    </row>
    <row r="32" spans="1:21" ht="12.95" x14ac:dyDescent="0.3">
      <c r="A32" s="2" t="s">
        <v>23</v>
      </c>
      <c r="B32" s="2"/>
      <c r="C32" s="2"/>
      <c r="D32" s="2"/>
      <c r="F32" s="4" t="s">
        <v>55</v>
      </c>
      <c r="L32" s="4" t="s">
        <v>26</v>
      </c>
      <c r="M32" s="1">
        <v>-5.5999999999999999E-3</v>
      </c>
    </row>
    <row r="33" spans="1:14" ht="15" x14ac:dyDescent="0.4">
      <c r="A33" s="9" t="s">
        <v>94</v>
      </c>
      <c r="B33" s="13">
        <v>7.71</v>
      </c>
      <c r="C33" s="4" t="s">
        <v>8</v>
      </c>
      <c r="D33" s="4" t="s">
        <v>25</v>
      </c>
      <c r="E33" s="2"/>
      <c r="L33" s="4" t="s">
        <v>29</v>
      </c>
      <c r="M33" s="1">
        <v>-6.6E-3</v>
      </c>
    </row>
    <row r="34" spans="1:14" ht="12.6" x14ac:dyDescent="0.25">
      <c r="A34" s="58" t="s">
        <v>27</v>
      </c>
      <c r="B34" s="14">
        <v>0.89600000000000002</v>
      </c>
      <c r="C34" s="4" t="s">
        <v>11</v>
      </c>
      <c r="D34" s="4" t="s">
        <v>28</v>
      </c>
      <c r="L34" s="4" t="s">
        <v>31</v>
      </c>
      <c r="M34" s="1">
        <v>-3.7499999999999999E-2</v>
      </c>
    </row>
    <row r="35" spans="1:14" ht="12.95" x14ac:dyDescent="0.3">
      <c r="A35" s="8" t="s">
        <v>0</v>
      </c>
      <c r="B35" s="74">
        <f>M25+M26*(B34/O27)^0.5+M27*(B34/O27)+M28*(B34/O27)^1.5+M29*(B34/O27)^2+M30*(B34/O27)^2.5+((10/(1+0.0162*10))*(M31+M32*(B34/O27)^0.5+M33*(B34/O27)+M34*(B34/O27)^1.5+M35*(B34/O27)^2+M36*(B34/O27)^2.5))-(M25/(1+1.5*M37*(B34/O27)+(400*(B34/O27))^2))-(M31*(10/(1+0.0162*10))/(1+(M38*(B34/O27))^0.5+(M38*(B34/O27))^1.5))</f>
        <v>0.43198626965423387</v>
      </c>
      <c r="C35" s="4" t="s">
        <v>30</v>
      </c>
      <c r="D35" s="4" t="s">
        <v>199</v>
      </c>
      <c r="L35" s="4" t="s">
        <v>33</v>
      </c>
      <c r="M35" s="1">
        <v>6.3600000000000004E-2</v>
      </c>
    </row>
    <row r="36" spans="1:14" ht="15.75" x14ac:dyDescent="0.3">
      <c r="A36" s="8" t="s">
        <v>95</v>
      </c>
      <c r="B36" s="13">
        <v>7.1</v>
      </c>
      <c r="C36" s="4" t="s">
        <v>13</v>
      </c>
      <c r="D36" s="4" t="s">
        <v>32</v>
      </c>
      <c r="L36" s="4" t="s">
        <v>34</v>
      </c>
      <c r="M36" s="1">
        <v>-1.44E-2</v>
      </c>
    </row>
    <row r="37" spans="1:14" ht="14.25" x14ac:dyDescent="0.25">
      <c r="A37" s="9" t="s">
        <v>96</v>
      </c>
      <c r="B37" s="13">
        <v>50</v>
      </c>
      <c r="C37" s="4" t="s">
        <v>59</v>
      </c>
      <c r="D37" s="4" t="s">
        <v>66</v>
      </c>
      <c r="L37" s="4" t="s">
        <v>37</v>
      </c>
      <c r="M37" s="1">
        <v>400</v>
      </c>
      <c r="N37" s="4" t="s">
        <v>38</v>
      </c>
    </row>
    <row r="38" spans="1:14" x14ac:dyDescent="0.2">
      <c r="A38" s="9" t="s">
        <v>35</v>
      </c>
      <c r="B38" s="13">
        <v>2</v>
      </c>
      <c r="C38" s="4"/>
      <c r="D38" s="4" t="s">
        <v>36</v>
      </c>
      <c r="L38" s="4" t="s">
        <v>39</v>
      </c>
      <c r="M38" s="1">
        <v>100</v>
      </c>
      <c r="N38" s="4" t="s">
        <v>38</v>
      </c>
    </row>
    <row r="39" spans="1:14" x14ac:dyDescent="0.2">
      <c r="A39" s="9"/>
      <c r="B39" s="15"/>
      <c r="C39" s="4"/>
      <c r="D39" s="4"/>
    </row>
    <row r="40" spans="1:14" ht="13.5" thickBot="1" x14ac:dyDescent="0.25">
      <c r="A40" s="9"/>
      <c r="C40" s="4"/>
      <c r="D40" s="4"/>
    </row>
    <row r="41" spans="1:14" ht="13.5" thickBot="1" x14ac:dyDescent="0.25">
      <c r="A41" s="117" t="s">
        <v>40</v>
      </c>
      <c r="B41" s="118"/>
      <c r="C41" s="118"/>
      <c r="D41" s="118"/>
      <c r="E41" s="119"/>
      <c r="F41" s="117" t="s">
        <v>41</v>
      </c>
      <c r="G41" s="118"/>
      <c r="H41" s="118"/>
      <c r="I41" s="118"/>
      <c r="J41" s="118"/>
      <c r="K41" s="119"/>
      <c r="L41" s="49"/>
      <c r="M41" s="49"/>
      <c r="N41" s="49"/>
    </row>
    <row r="42" spans="1:14" ht="15" thickBot="1" x14ac:dyDescent="0.3">
      <c r="A42" s="17" t="s">
        <v>42</v>
      </c>
      <c r="B42" s="18" t="s">
        <v>4</v>
      </c>
      <c r="C42" s="19" t="s">
        <v>5</v>
      </c>
      <c r="D42" s="20" t="s">
        <v>43</v>
      </c>
      <c r="E42" s="21" t="s">
        <v>44</v>
      </c>
      <c r="F42" s="120" t="s">
        <v>45</v>
      </c>
      <c r="G42" s="121"/>
      <c r="H42" s="121"/>
      <c r="I42" s="120" t="s">
        <v>46</v>
      </c>
      <c r="J42" s="121"/>
      <c r="K42" s="122"/>
      <c r="L42" s="49"/>
      <c r="M42" s="49"/>
      <c r="N42" s="49"/>
    </row>
    <row r="43" spans="1:14" ht="14.25" x14ac:dyDescent="0.25">
      <c r="A43" s="9" t="s">
        <v>86</v>
      </c>
      <c r="B43" s="22">
        <f>B23</f>
        <v>0</v>
      </c>
      <c r="C43" s="23" t="s">
        <v>8</v>
      </c>
      <c r="D43" s="24">
        <f>SQRT(SUMSQ(F43,I43))</f>
        <v>5.6983562864930679E-3</v>
      </c>
      <c r="E43" s="25"/>
      <c r="F43" s="4">
        <f>0.005/SQRT(3)</f>
        <v>2.886751345948129E-3</v>
      </c>
      <c r="G43" s="9" t="s">
        <v>101</v>
      </c>
      <c r="H43" s="4" t="s">
        <v>47</v>
      </c>
      <c r="I43" s="40">
        <f>B11</f>
        <v>4.913036844405071E-3</v>
      </c>
      <c r="J43" s="9" t="s">
        <v>78</v>
      </c>
      <c r="K43" s="4" t="s">
        <v>67</v>
      </c>
      <c r="L43" s="22"/>
      <c r="M43" s="22"/>
      <c r="N43" s="22"/>
    </row>
    <row r="44" spans="1:14" ht="14.25" x14ac:dyDescent="0.25">
      <c r="A44" s="9" t="s">
        <v>87</v>
      </c>
      <c r="B44" s="22">
        <f>B24</f>
        <v>9.0299999999999994</v>
      </c>
      <c r="C44" s="23" t="s">
        <v>8</v>
      </c>
      <c r="D44" s="24">
        <f t="shared" ref="D44" si="0">SQRT(SUMSQ(F44,I44))</f>
        <v>4.8541959571904332E-3</v>
      </c>
      <c r="E44" s="25">
        <f>D44/B44</f>
        <v>5.3756322892474344E-4</v>
      </c>
      <c r="F44" s="4">
        <f>0.005/SQRT(3)</f>
        <v>2.886751345948129E-3</v>
      </c>
      <c r="G44" s="9" t="s">
        <v>102</v>
      </c>
      <c r="H44" s="4" t="s">
        <v>47</v>
      </c>
      <c r="I44" s="40">
        <f>B10</f>
        <v>3.9025485336470337E-3</v>
      </c>
      <c r="J44" s="9" t="s">
        <v>79</v>
      </c>
      <c r="K44" s="4" t="s">
        <v>67</v>
      </c>
      <c r="L44" s="22"/>
      <c r="M44" s="22"/>
      <c r="N44" s="22"/>
    </row>
    <row r="45" spans="1:14" ht="14.25" x14ac:dyDescent="0.25">
      <c r="A45" s="9" t="s">
        <v>88</v>
      </c>
      <c r="B45" s="22">
        <f>B25</f>
        <v>0</v>
      </c>
      <c r="C45" s="23" t="s">
        <v>8</v>
      </c>
      <c r="D45" s="24">
        <f>SQRT(SUMSQ(F45))</f>
        <v>5.773502691896258E-3</v>
      </c>
      <c r="E45" s="25"/>
      <c r="F45" s="1">
        <f>0.01/SQRT(3)</f>
        <v>5.773502691896258E-3</v>
      </c>
      <c r="G45" s="9" t="s">
        <v>103</v>
      </c>
      <c r="H45" s="22" t="s">
        <v>48</v>
      </c>
      <c r="I45" s="22"/>
      <c r="J45" s="22"/>
      <c r="K45" s="22"/>
      <c r="L45" s="22"/>
      <c r="M45" s="22"/>
      <c r="N45" s="22"/>
    </row>
    <row r="46" spans="1:14" ht="14.25" x14ac:dyDescent="0.25">
      <c r="A46" s="9" t="s">
        <v>89</v>
      </c>
      <c r="B46" s="26">
        <f>B26</f>
        <v>8.9792439550701673</v>
      </c>
      <c r="C46" s="23" t="s">
        <v>8</v>
      </c>
      <c r="D46" s="24">
        <f>SQRT(SUMSQ(F46))</f>
        <v>3.1E-2</v>
      </c>
      <c r="E46" s="25">
        <f>D46/B46</f>
        <v>3.4524064782197749E-3</v>
      </c>
      <c r="F46" s="22">
        <f>B13</f>
        <v>3.1E-2</v>
      </c>
      <c r="G46" s="9" t="s">
        <v>81</v>
      </c>
      <c r="H46" s="57" t="s">
        <v>202</v>
      </c>
      <c r="I46" s="22"/>
      <c r="J46" s="22"/>
      <c r="K46" s="22"/>
      <c r="L46" s="22"/>
      <c r="M46" s="22"/>
      <c r="N46" s="22"/>
    </row>
    <row r="47" spans="1:14" ht="14.25" x14ac:dyDescent="0.25">
      <c r="A47" s="9" t="s">
        <v>94</v>
      </c>
      <c r="B47" s="26">
        <f>B33</f>
        <v>7.71</v>
      </c>
      <c r="C47" s="23" t="s">
        <v>8</v>
      </c>
      <c r="D47" s="24">
        <f>SQRT(SUMSQ(F47,I47))</f>
        <v>6.8704623597826572E-2</v>
      </c>
      <c r="E47" s="25">
        <f>D47/B47</f>
        <v>8.9111055250099321E-3</v>
      </c>
      <c r="F47" s="4">
        <f>0.005/SQRT(3)</f>
        <v>2.886751345948129E-3</v>
      </c>
      <c r="G47" s="9" t="s">
        <v>104</v>
      </c>
      <c r="H47" s="4" t="s">
        <v>47</v>
      </c>
      <c r="I47" s="40">
        <f>B12</f>
        <v>6.8643950719533137E-2</v>
      </c>
      <c r="J47" s="50" t="s">
        <v>80</v>
      </c>
      <c r="K47" s="4" t="s">
        <v>68</v>
      </c>
      <c r="L47" s="4"/>
      <c r="M47" s="4"/>
      <c r="N47" s="4"/>
    </row>
    <row r="48" spans="1:14" ht="15.75" x14ac:dyDescent="0.3">
      <c r="A48" s="59" t="s">
        <v>49</v>
      </c>
      <c r="B48" s="15">
        <f>(EXP(-139.3441+157570.1/(B36+273.15)+(-66423080/(B36+273.15)^2)+(12438000000/(B36+273.15)^3)+(-862194900000/(B36+273.15)^4)))*($B$28-101325*(EXP((((-216961*(1/(B36+273.15)))-3840.7)*(1/(B36+273.15))+11.8571))))/(101325-101325*(EXP((((-216961*(1/(B36+273.15)))-3840.7)*(1/(B36+273.15))+11.8571))))/((EXP(-139.3441+157570.1/(B36+273.15)+(-66423080/(B36+273.15)^2)+(12438000000/(B36+273.15)^3)+(-862194900000/(B36+273.15)^4)))*($B$28-101325*(EXP((((-216961*(1/(B36+273.15)))-3840.7)*(1/(B36+273.15))+11.8571))))/(101325-101325*(EXP((((-216961*(1/(B36+273.15)))-3840.7)*(1/(B36+273.15))+11.8571))))*EXP(-B35*(0.017674-10.754/(B36+273.15)+2140.7/((B36+273.15)^2))))</f>
        <v>1.0028366672841309</v>
      </c>
      <c r="C48" s="23" t="s">
        <v>50</v>
      </c>
      <c r="D48" s="24">
        <f>SQRT(SUMSQ(F48))</f>
        <v>8.1887531004719001E-4</v>
      </c>
      <c r="E48" s="25">
        <f>D48/B48</f>
        <v>8.1655900383544749E-4</v>
      </c>
      <c r="F48" s="4">
        <f>(B48-1)*0.5/SQRT(3)</f>
        <v>8.1887531004719001E-4</v>
      </c>
      <c r="G48" s="28" t="s">
        <v>69</v>
      </c>
      <c r="H48" s="4"/>
      <c r="I48" s="4"/>
      <c r="J48" s="4"/>
      <c r="K48" s="4"/>
      <c r="L48" s="4"/>
      <c r="M48" s="4"/>
      <c r="N48" s="4"/>
    </row>
    <row r="49" spans="1:16" ht="15.75" x14ac:dyDescent="0.3">
      <c r="A49" s="9" t="s">
        <v>97</v>
      </c>
      <c r="B49" s="27">
        <v>0</v>
      </c>
      <c r="C49" s="23" t="s">
        <v>8</v>
      </c>
      <c r="D49" s="24">
        <f t="shared" ref="D49:D52" si="1">SQRT(SUMSQ(F49))</f>
        <v>2.0975884053197422E-3</v>
      </c>
      <c r="E49" s="25"/>
      <c r="F49" s="4">
        <f>ABS(B14)*B37*B33/100/SQRT(3)</f>
        <v>2.0975884053197422E-3</v>
      </c>
      <c r="G49" s="28" t="s">
        <v>105</v>
      </c>
      <c r="H49" s="4"/>
      <c r="I49" s="4"/>
      <c r="J49" s="4"/>
      <c r="K49" s="4"/>
      <c r="L49" s="4"/>
      <c r="M49" s="4"/>
      <c r="N49" s="4"/>
    </row>
    <row r="50" spans="1:16" ht="15.75" x14ac:dyDescent="0.3">
      <c r="A50" s="9" t="s">
        <v>98</v>
      </c>
      <c r="B50" s="27">
        <v>0</v>
      </c>
      <c r="C50" s="23" t="s">
        <v>8</v>
      </c>
      <c r="D50" s="24">
        <f t="shared" si="1"/>
        <v>1.4101663848882314E-2</v>
      </c>
      <c r="E50" s="25"/>
      <c r="F50" s="4">
        <f>ABS(B36-B29)*B15/100*B33/SQRT(3)</f>
        <v>1.4101663848882314E-2</v>
      </c>
      <c r="G50" s="28" t="s">
        <v>106</v>
      </c>
      <c r="H50" s="4"/>
      <c r="I50" s="4"/>
      <c r="J50" s="4"/>
      <c r="K50" s="4"/>
      <c r="L50" s="4"/>
      <c r="M50" s="4"/>
      <c r="N50" s="4"/>
    </row>
    <row r="51" spans="1:16" ht="15.75" x14ac:dyDescent="0.3">
      <c r="A51" s="9" t="s">
        <v>99</v>
      </c>
      <c r="B51" s="27">
        <v>0</v>
      </c>
      <c r="C51" s="23" t="s">
        <v>8</v>
      </c>
      <c r="D51" s="24">
        <f t="shared" si="1"/>
        <v>1.010226224948726E-2</v>
      </c>
      <c r="E51" s="25"/>
      <c r="F51" s="4">
        <f>(ABS(B16)+B17)*B38/SQRT(3)</f>
        <v>1.010226224948726E-2</v>
      </c>
      <c r="G51" s="28" t="s">
        <v>127</v>
      </c>
      <c r="H51" s="4"/>
      <c r="I51" s="4"/>
      <c r="J51" s="4"/>
      <c r="K51" s="4"/>
      <c r="L51" s="4"/>
      <c r="M51" s="4"/>
      <c r="N51" s="4"/>
    </row>
    <row r="52" spans="1:16" ht="15.75" x14ac:dyDescent="0.3">
      <c r="A52" s="9" t="s">
        <v>100</v>
      </c>
      <c r="B52" s="27">
        <v>0</v>
      </c>
      <c r="C52" s="23" t="s">
        <v>8</v>
      </c>
      <c r="D52" s="24">
        <f t="shared" si="1"/>
        <v>0</v>
      </c>
      <c r="E52" s="25"/>
      <c r="F52" s="1">
        <f>IF(B33&lt;11,(0),((B33-11)*B18))/SQRT(3)</f>
        <v>0</v>
      </c>
      <c r="G52" s="28" t="s">
        <v>108</v>
      </c>
    </row>
    <row r="53" spans="1:16" x14ac:dyDescent="0.2">
      <c r="A53" s="9"/>
      <c r="C53" s="23"/>
      <c r="D53" s="24"/>
      <c r="E53" s="29"/>
      <c r="G53" s="28"/>
    </row>
    <row r="54" spans="1:16" x14ac:dyDescent="0.2">
      <c r="A54" s="9"/>
      <c r="B54" s="27"/>
      <c r="C54" s="23"/>
      <c r="D54" s="24"/>
      <c r="E54" s="29"/>
      <c r="G54" s="28"/>
    </row>
    <row r="55" spans="1:16" ht="15" thickBot="1" x14ac:dyDescent="0.3">
      <c r="A55" s="17" t="s">
        <v>42</v>
      </c>
      <c r="B55" s="18" t="s">
        <v>4</v>
      </c>
      <c r="C55" s="19" t="s">
        <v>5</v>
      </c>
      <c r="D55" s="20" t="s">
        <v>43</v>
      </c>
      <c r="G55" s="9" t="s">
        <v>86</v>
      </c>
      <c r="H55" s="9" t="s">
        <v>87</v>
      </c>
      <c r="I55" s="9" t="s">
        <v>88</v>
      </c>
      <c r="J55" s="9" t="s">
        <v>89</v>
      </c>
      <c r="K55" s="9" t="s">
        <v>94</v>
      </c>
      <c r="L55" s="59" t="s">
        <v>49</v>
      </c>
      <c r="M55" s="9" t="s">
        <v>97</v>
      </c>
      <c r="N55" s="9" t="s">
        <v>98</v>
      </c>
      <c r="O55" s="9" t="s">
        <v>99</v>
      </c>
      <c r="P55" s="9" t="s">
        <v>100</v>
      </c>
    </row>
    <row r="56" spans="1:16" ht="14.25" x14ac:dyDescent="0.25">
      <c r="A56" s="9" t="s">
        <v>86</v>
      </c>
      <c r="B56" s="22">
        <f>B43</f>
        <v>0</v>
      </c>
      <c r="C56" s="23" t="s">
        <v>8</v>
      </c>
      <c r="D56" s="24">
        <f>D43</f>
        <v>5.6983562864930679E-3</v>
      </c>
      <c r="G56" s="30">
        <f>$B56+$D56</f>
        <v>5.6983562864930679E-3</v>
      </c>
      <c r="H56" s="1">
        <f t="shared" ref="H56:P56" si="2">$B56</f>
        <v>0</v>
      </c>
      <c r="I56" s="1">
        <f t="shared" si="2"/>
        <v>0</v>
      </c>
      <c r="J56" s="1">
        <f t="shared" si="2"/>
        <v>0</v>
      </c>
      <c r="K56" s="1">
        <f t="shared" si="2"/>
        <v>0</v>
      </c>
      <c r="L56" s="1">
        <f t="shared" si="2"/>
        <v>0</v>
      </c>
      <c r="M56" s="1">
        <f t="shared" si="2"/>
        <v>0</v>
      </c>
      <c r="N56" s="1">
        <f t="shared" si="2"/>
        <v>0</v>
      </c>
      <c r="O56" s="1">
        <f t="shared" si="2"/>
        <v>0</v>
      </c>
      <c r="P56" s="1">
        <f t="shared" si="2"/>
        <v>0</v>
      </c>
    </row>
    <row r="57" spans="1:16" ht="14.25" x14ac:dyDescent="0.25">
      <c r="A57" s="9" t="s">
        <v>87</v>
      </c>
      <c r="B57" s="22">
        <f t="shared" ref="B57:B65" si="3">B44</f>
        <v>9.0299999999999994</v>
      </c>
      <c r="C57" s="23" t="s">
        <v>8</v>
      </c>
      <c r="D57" s="24">
        <f t="shared" ref="D57:D65" si="4">D44</f>
        <v>4.8541959571904332E-3</v>
      </c>
      <c r="G57" s="1">
        <f t="shared" ref="G57:P65" si="5">$B57</f>
        <v>9.0299999999999994</v>
      </c>
      <c r="H57" s="30">
        <f>$B57+$D57</f>
        <v>9.0348541959571893</v>
      </c>
      <c r="I57" s="1">
        <f t="shared" si="5"/>
        <v>9.0299999999999994</v>
      </c>
      <c r="J57" s="1">
        <f t="shared" si="5"/>
        <v>9.0299999999999994</v>
      </c>
      <c r="K57" s="1">
        <f t="shared" si="5"/>
        <v>9.0299999999999994</v>
      </c>
      <c r="L57" s="1">
        <f t="shared" si="5"/>
        <v>9.0299999999999994</v>
      </c>
      <c r="M57" s="1">
        <f t="shared" si="5"/>
        <v>9.0299999999999994</v>
      </c>
      <c r="N57" s="1">
        <f t="shared" si="5"/>
        <v>9.0299999999999994</v>
      </c>
      <c r="O57" s="1">
        <f t="shared" si="5"/>
        <v>9.0299999999999994</v>
      </c>
      <c r="P57" s="1">
        <f t="shared" si="5"/>
        <v>9.0299999999999994</v>
      </c>
    </row>
    <row r="58" spans="1:16" ht="14.25" x14ac:dyDescent="0.25">
      <c r="A58" s="9" t="s">
        <v>88</v>
      </c>
      <c r="B58" s="22">
        <f t="shared" si="3"/>
        <v>0</v>
      </c>
      <c r="C58" s="23" t="s">
        <v>8</v>
      </c>
      <c r="D58" s="24">
        <f t="shared" si="4"/>
        <v>5.773502691896258E-3</v>
      </c>
      <c r="G58" s="1">
        <f t="shared" si="5"/>
        <v>0</v>
      </c>
      <c r="H58" s="1">
        <f t="shared" si="5"/>
        <v>0</v>
      </c>
      <c r="I58" s="30">
        <f>$B58+$D58</f>
        <v>5.773502691896258E-3</v>
      </c>
      <c r="J58" s="1">
        <f t="shared" si="5"/>
        <v>0</v>
      </c>
      <c r="K58" s="1">
        <f t="shared" si="5"/>
        <v>0</v>
      </c>
      <c r="L58" s="1">
        <f t="shared" si="5"/>
        <v>0</v>
      </c>
      <c r="M58" s="1">
        <f t="shared" si="5"/>
        <v>0</v>
      </c>
      <c r="N58" s="1">
        <f t="shared" si="5"/>
        <v>0</v>
      </c>
      <c r="O58" s="1">
        <f t="shared" si="5"/>
        <v>0</v>
      </c>
      <c r="P58" s="1">
        <f t="shared" si="5"/>
        <v>0</v>
      </c>
    </row>
    <row r="59" spans="1:16" ht="14.25" x14ac:dyDescent="0.25">
      <c r="A59" s="9" t="s">
        <v>89</v>
      </c>
      <c r="B59" s="22">
        <f t="shared" si="3"/>
        <v>8.9792439550701673</v>
      </c>
      <c r="C59" s="23" t="s">
        <v>8</v>
      </c>
      <c r="D59" s="24">
        <f t="shared" si="4"/>
        <v>3.1E-2</v>
      </c>
      <c r="G59" s="1">
        <f t="shared" si="5"/>
        <v>8.9792439550701673</v>
      </c>
      <c r="H59" s="1">
        <f t="shared" si="5"/>
        <v>8.9792439550701673</v>
      </c>
      <c r="I59" s="1">
        <f t="shared" si="5"/>
        <v>8.9792439550701673</v>
      </c>
      <c r="J59" s="30">
        <f>$B59+$D59</f>
        <v>9.0102439550701678</v>
      </c>
      <c r="K59" s="1">
        <f t="shared" si="5"/>
        <v>8.9792439550701673</v>
      </c>
      <c r="L59" s="1">
        <f t="shared" si="5"/>
        <v>8.9792439550701673</v>
      </c>
      <c r="M59" s="1">
        <f t="shared" si="5"/>
        <v>8.9792439550701673</v>
      </c>
      <c r="N59" s="1">
        <f t="shared" si="5"/>
        <v>8.9792439550701673</v>
      </c>
      <c r="O59" s="1">
        <f t="shared" si="5"/>
        <v>8.9792439550701673</v>
      </c>
      <c r="P59" s="1">
        <f t="shared" si="5"/>
        <v>8.9792439550701673</v>
      </c>
    </row>
    <row r="60" spans="1:16" ht="14.25" x14ac:dyDescent="0.25">
      <c r="A60" s="9" t="s">
        <v>94</v>
      </c>
      <c r="B60" s="22">
        <f t="shared" si="3"/>
        <v>7.71</v>
      </c>
      <c r="C60" s="23" t="s">
        <v>8</v>
      </c>
      <c r="D60" s="24">
        <f t="shared" si="4"/>
        <v>6.8704623597826572E-2</v>
      </c>
      <c r="E60" s="6"/>
      <c r="G60" s="1">
        <f t="shared" si="5"/>
        <v>7.71</v>
      </c>
      <c r="H60" s="1">
        <f t="shared" si="5"/>
        <v>7.71</v>
      </c>
      <c r="I60" s="1">
        <f t="shared" si="5"/>
        <v>7.71</v>
      </c>
      <c r="J60" s="1">
        <f t="shared" si="5"/>
        <v>7.71</v>
      </c>
      <c r="K60" s="30">
        <f>$B60+$D60</f>
        <v>7.7787046235978261</v>
      </c>
      <c r="L60" s="1">
        <f t="shared" si="5"/>
        <v>7.71</v>
      </c>
      <c r="M60" s="1">
        <f t="shared" si="5"/>
        <v>7.71</v>
      </c>
      <c r="N60" s="1">
        <f t="shared" si="5"/>
        <v>7.71</v>
      </c>
      <c r="O60" s="1">
        <f t="shared" si="5"/>
        <v>7.71</v>
      </c>
      <c r="P60" s="1">
        <f t="shared" si="5"/>
        <v>7.71</v>
      </c>
    </row>
    <row r="61" spans="1:16" x14ac:dyDescent="0.2">
      <c r="A61" s="59" t="s">
        <v>49</v>
      </c>
      <c r="B61" s="22">
        <f t="shared" si="3"/>
        <v>1.0028366672841309</v>
      </c>
      <c r="C61" s="23" t="s">
        <v>50</v>
      </c>
      <c r="D61" s="24">
        <f t="shared" si="4"/>
        <v>8.1887531004719001E-4</v>
      </c>
      <c r="G61" s="1">
        <f t="shared" si="5"/>
        <v>1.0028366672841309</v>
      </c>
      <c r="H61" s="1">
        <f t="shared" si="5"/>
        <v>1.0028366672841309</v>
      </c>
      <c r="I61" s="1">
        <f t="shared" si="5"/>
        <v>1.0028366672841309</v>
      </c>
      <c r="J61" s="1">
        <f t="shared" si="5"/>
        <v>1.0028366672841309</v>
      </c>
      <c r="K61" s="1">
        <f t="shared" si="5"/>
        <v>1.0028366672841309</v>
      </c>
      <c r="L61" s="30">
        <f>$B61+$D61</f>
        <v>1.003655542594178</v>
      </c>
      <c r="M61" s="1">
        <f t="shared" si="5"/>
        <v>1.0028366672841309</v>
      </c>
      <c r="N61" s="1">
        <f t="shared" si="5"/>
        <v>1.0028366672841309</v>
      </c>
      <c r="O61" s="1">
        <f t="shared" si="5"/>
        <v>1.0028366672841309</v>
      </c>
      <c r="P61" s="1">
        <f t="shared" si="5"/>
        <v>1.0028366672841309</v>
      </c>
    </row>
    <row r="62" spans="1:16" ht="14.25" x14ac:dyDescent="0.25">
      <c r="A62" s="9" t="s">
        <v>97</v>
      </c>
      <c r="B62" s="22">
        <f t="shared" si="3"/>
        <v>0</v>
      </c>
      <c r="C62" s="23" t="s">
        <v>8</v>
      </c>
      <c r="D62" s="24">
        <f t="shared" si="4"/>
        <v>2.0975884053197422E-3</v>
      </c>
      <c r="G62" s="1">
        <f t="shared" si="5"/>
        <v>0</v>
      </c>
      <c r="H62" s="1">
        <f t="shared" si="5"/>
        <v>0</v>
      </c>
      <c r="I62" s="1">
        <f t="shared" si="5"/>
        <v>0</v>
      </c>
      <c r="J62" s="1">
        <f t="shared" si="5"/>
        <v>0</v>
      </c>
      <c r="K62" s="1">
        <f t="shared" si="5"/>
        <v>0</v>
      </c>
      <c r="L62" s="1">
        <f t="shared" si="5"/>
        <v>0</v>
      </c>
      <c r="M62" s="30">
        <f>$B62+$D62</f>
        <v>2.0975884053197422E-3</v>
      </c>
      <c r="N62" s="1">
        <f t="shared" si="5"/>
        <v>0</v>
      </c>
      <c r="O62" s="1">
        <f t="shared" si="5"/>
        <v>0</v>
      </c>
      <c r="P62" s="1">
        <f t="shared" si="5"/>
        <v>0</v>
      </c>
    </row>
    <row r="63" spans="1:16" ht="14.25" x14ac:dyDescent="0.25">
      <c r="A63" s="9" t="s">
        <v>98</v>
      </c>
      <c r="B63" s="22">
        <f t="shared" si="3"/>
        <v>0</v>
      </c>
      <c r="C63" s="23" t="s">
        <v>8</v>
      </c>
      <c r="D63" s="24">
        <f t="shared" si="4"/>
        <v>1.4101663848882314E-2</v>
      </c>
      <c r="G63" s="1">
        <f t="shared" si="5"/>
        <v>0</v>
      </c>
      <c r="H63" s="1">
        <f t="shared" si="5"/>
        <v>0</v>
      </c>
      <c r="I63" s="1">
        <f t="shared" si="5"/>
        <v>0</v>
      </c>
      <c r="J63" s="1">
        <f t="shared" si="5"/>
        <v>0</v>
      </c>
      <c r="K63" s="1">
        <f t="shared" si="5"/>
        <v>0</v>
      </c>
      <c r="L63" s="1">
        <f t="shared" si="5"/>
        <v>0</v>
      </c>
      <c r="M63" s="1">
        <f t="shared" si="5"/>
        <v>0</v>
      </c>
      <c r="N63" s="30">
        <f>$B63+$D63</f>
        <v>1.4101663848882314E-2</v>
      </c>
      <c r="O63" s="1">
        <f t="shared" si="5"/>
        <v>0</v>
      </c>
      <c r="P63" s="1">
        <f t="shared" si="5"/>
        <v>0</v>
      </c>
    </row>
    <row r="64" spans="1:16" ht="14.25" x14ac:dyDescent="0.25">
      <c r="A64" s="9" t="s">
        <v>99</v>
      </c>
      <c r="B64" s="22">
        <f t="shared" si="3"/>
        <v>0</v>
      </c>
      <c r="C64" s="23" t="s">
        <v>8</v>
      </c>
      <c r="D64" s="24">
        <f t="shared" si="4"/>
        <v>1.010226224948726E-2</v>
      </c>
      <c r="G64" s="1">
        <f t="shared" si="5"/>
        <v>0</v>
      </c>
      <c r="H64" s="1">
        <f t="shared" si="5"/>
        <v>0</v>
      </c>
      <c r="I64" s="1">
        <f t="shared" si="5"/>
        <v>0</v>
      </c>
      <c r="J64" s="1">
        <f t="shared" si="5"/>
        <v>0</v>
      </c>
      <c r="K64" s="1">
        <f t="shared" si="5"/>
        <v>0</v>
      </c>
      <c r="L64" s="1">
        <f t="shared" si="5"/>
        <v>0</v>
      </c>
      <c r="M64" s="1">
        <f t="shared" si="5"/>
        <v>0</v>
      </c>
      <c r="N64" s="1">
        <f t="shared" si="5"/>
        <v>0</v>
      </c>
      <c r="O64" s="30">
        <f>$B64+$D64</f>
        <v>1.010226224948726E-2</v>
      </c>
      <c r="P64" s="1">
        <f t="shared" si="5"/>
        <v>0</v>
      </c>
    </row>
    <row r="65" spans="1:16" ht="14.25" x14ac:dyDescent="0.25">
      <c r="A65" s="9" t="s">
        <v>100</v>
      </c>
      <c r="B65" s="22">
        <f t="shared" si="3"/>
        <v>0</v>
      </c>
      <c r="C65" s="23" t="s">
        <v>8</v>
      </c>
      <c r="D65" s="24">
        <f t="shared" si="4"/>
        <v>0</v>
      </c>
      <c r="G65" s="1">
        <f t="shared" si="5"/>
        <v>0</v>
      </c>
      <c r="H65" s="1">
        <f t="shared" si="5"/>
        <v>0</v>
      </c>
      <c r="I65" s="1">
        <f t="shared" si="5"/>
        <v>0</v>
      </c>
      <c r="J65" s="1">
        <f t="shared" si="5"/>
        <v>0</v>
      </c>
      <c r="K65" s="1">
        <f t="shared" si="5"/>
        <v>0</v>
      </c>
      <c r="L65" s="1">
        <f t="shared" si="5"/>
        <v>0</v>
      </c>
      <c r="M65" s="1">
        <f t="shared" si="5"/>
        <v>0</v>
      </c>
      <c r="N65" s="1">
        <f t="shared" si="5"/>
        <v>0</v>
      </c>
      <c r="O65" s="1">
        <f t="shared" si="5"/>
        <v>0</v>
      </c>
      <c r="P65" s="30">
        <f>$B65+$D65</f>
        <v>0</v>
      </c>
    </row>
    <row r="67" spans="1:16" ht="15.75" x14ac:dyDescent="0.3">
      <c r="A67" s="4" t="s">
        <v>51</v>
      </c>
      <c r="B67" s="31">
        <f>(B60+B62+B63+B64+B65)/B61/((B57-B56)/(B59-B58))-((B56*B59-B58*B57)/(B59-B58))/((B57-B56)/(B59-B58))</f>
        <v>7.6449771866921417</v>
      </c>
      <c r="C67" s="23" t="s">
        <v>8</v>
      </c>
      <c r="E67" s="51"/>
      <c r="F67" s="51"/>
      <c r="G67" s="1">
        <f>(((G60+G62+G63+G64+G65)/G61)-INTERCEPT(G56:G57,G58:G59))/SLOPE(G56:G57,G58:G59)</f>
        <v>7.6441346697054957</v>
      </c>
      <c r="H67" s="1">
        <f t="shared" ref="H67:P67" si="6">(((H60+H62+H63+H64+H65)/H61)-INTERCEPT(H56:H57,H58:H59))/SLOPE(H56:H57,H58:H59)</f>
        <v>7.6408697360850191</v>
      </c>
      <c r="I67" s="1">
        <f t="shared" si="6"/>
        <v>7.6458350977609904</v>
      </c>
      <c r="J67" s="1">
        <f t="shared" si="6"/>
        <v>7.6713707554573203</v>
      </c>
      <c r="K67" s="1">
        <f t="shared" si="6"/>
        <v>7.7131023851390488</v>
      </c>
      <c r="L67" s="1">
        <f t="shared" si="6"/>
        <v>7.6387397050080637</v>
      </c>
      <c r="M67" s="1">
        <f t="shared" si="6"/>
        <v>7.6470570849419142</v>
      </c>
      <c r="N67" s="1">
        <f t="shared" si="6"/>
        <v>7.6589599231926746</v>
      </c>
      <c r="O67" s="1">
        <f t="shared" si="6"/>
        <v>7.6549942508207165</v>
      </c>
      <c r="P67" s="1">
        <f t="shared" si="6"/>
        <v>7.6449771866921417</v>
      </c>
    </row>
    <row r="68" spans="1:16" ht="15.75" x14ac:dyDescent="0.3">
      <c r="A68" s="4" t="s">
        <v>52</v>
      </c>
      <c r="B68" s="32">
        <f>SQRT(P70)</f>
        <v>7.5465692739452223E-2</v>
      </c>
      <c r="C68" s="4" t="s">
        <v>8</v>
      </c>
      <c r="G68" s="1">
        <f>G67-$B$67</f>
        <v>-8.4251698664594699E-4</v>
      </c>
      <c r="H68" s="1">
        <f t="shared" ref="H68:P68" si="7">H67-$B$67</f>
        <v>-4.1074506071225869E-3</v>
      </c>
      <c r="I68" s="1">
        <f t="shared" si="7"/>
        <v>8.579110688486935E-4</v>
      </c>
      <c r="J68" s="1">
        <f t="shared" si="7"/>
        <v>2.6393568765178621E-2</v>
      </c>
      <c r="K68" s="1">
        <f t="shared" si="7"/>
        <v>6.812519844690712E-2</v>
      </c>
      <c r="L68" s="1">
        <f t="shared" si="7"/>
        <v>-6.2374816840780056E-3</v>
      </c>
      <c r="M68" s="1">
        <f t="shared" si="7"/>
        <v>2.0798982497725049E-3</v>
      </c>
      <c r="N68" s="1">
        <f t="shared" si="7"/>
        <v>1.3982736500532944E-2</v>
      </c>
      <c r="O68" s="1">
        <f t="shared" si="7"/>
        <v>1.0017064128574837E-2</v>
      </c>
      <c r="P68" s="1">
        <f t="shared" si="7"/>
        <v>0</v>
      </c>
    </row>
    <row r="69" spans="1:16" ht="15.75" x14ac:dyDescent="0.3">
      <c r="A69" s="33" t="s">
        <v>53</v>
      </c>
      <c r="B69" s="34">
        <f>B68*2</f>
        <v>0.15093138547890445</v>
      </c>
      <c r="C69" s="33" t="s">
        <v>54</v>
      </c>
      <c r="G69" s="1">
        <f>G68^2</f>
        <v>7.0983487278696681E-7</v>
      </c>
      <c r="H69" s="1">
        <f t="shared" ref="H69:P69" si="8">H68^2</f>
        <v>1.6871150489951709E-5</v>
      </c>
      <c r="I69" s="1">
        <f t="shared" si="8"/>
        <v>7.3601140205310768E-7</v>
      </c>
      <c r="J69" s="1">
        <f t="shared" si="8"/>
        <v>6.9662047216221255E-4</v>
      </c>
      <c r="K69" s="1">
        <f t="shared" si="8"/>
        <v>4.6410426634304761E-3</v>
      </c>
      <c r="L69" s="1">
        <f t="shared" si="8"/>
        <v>3.8906177759208594E-5</v>
      </c>
      <c r="M69" s="1">
        <f t="shared" si="8"/>
        <v>4.3259767294067295E-6</v>
      </c>
      <c r="N69" s="1">
        <f t="shared" si="8"/>
        <v>1.9551692004333629E-4</v>
      </c>
      <c r="O69" s="1">
        <f t="shared" si="8"/>
        <v>1.0034157375598076E-4</v>
      </c>
      <c r="P69" s="1">
        <f t="shared" si="8"/>
        <v>0</v>
      </c>
    </row>
    <row r="70" spans="1:16" ht="15.75" x14ac:dyDescent="0.3">
      <c r="A70" s="33" t="s">
        <v>70</v>
      </c>
      <c r="B70" s="88">
        <f>B69/B67*100</f>
        <v>1.9742555378927169</v>
      </c>
      <c r="C70" s="33" t="s">
        <v>71</v>
      </c>
      <c r="P70" s="1">
        <f>SUM(G69:P69)</f>
        <v>5.6950707806454129E-3</v>
      </c>
    </row>
    <row r="71" spans="1:16" ht="15.75" x14ac:dyDescent="0.3">
      <c r="B71" s="4" t="s">
        <v>77</v>
      </c>
      <c r="C71" s="1">
        <f>('Table S8'!B67-'Table S9'!B66)/SQRT('Table S8'!B69^2+'Table S9'!B68^2)</f>
        <v>-0.36882008650613174</v>
      </c>
      <c r="E71" s="4" t="s">
        <v>55</v>
      </c>
      <c r="G71" s="89">
        <f>G69/$P$70</f>
        <v>1.2464021960874075E-4</v>
      </c>
      <c r="H71" s="89">
        <f t="shared" ref="H71:P71" si="9">H69/$P$70</f>
        <v>2.9624127846291193E-3</v>
      </c>
      <c r="I71" s="89">
        <f t="shared" si="9"/>
        <v>1.2923656797285613E-4</v>
      </c>
      <c r="J71" s="89">
        <f>J69/$P$70</f>
        <v>0.1223198971520536</v>
      </c>
      <c r="K71" s="89">
        <f t="shared" si="9"/>
        <v>0.81492273620250155</v>
      </c>
      <c r="L71" s="89">
        <f t="shared" si="9"/>
        <v>6.831552979364274E-3</v>
      </c>
      <c r="M71" s="89">
        <f t="shared" si="9"/>
        <v>7.5960016934442274E-4</v>
      </c>
      <c r="N71" s="89">
        <f>N69/$P$70</f>
        <v>3.4330902560122119E-2</v>
      </c>
      <c r="O71" s="89">
        <f t="shared" si="9"/>
        <v>1.7619021364403343E-2</v>
      </c>
      <c r="P71" s="89">
        <f t="shared" si="9"/>
        <v>0</v>
      </c>
    </row>
    <row r="72" spans="1:16" x14ac:dyDescent="0.2">
      <c r="P72" s="52">
        <f>SUM(G71:P71)</f>
        <v>1</v>
      </c>
    </row>
  </sheetData>
  <mergeCells count="4">
    <mergeCell ref="A41:E41"/>
    <mergeCell ref="F41:K41"/>
    <mergeCell ref="F42:H42"/>
    <mergeCell ref="I42:K42"/>
  </mergeCells>
  <pageMargins left="0.7" right="0.7" top="0.75" bottom="0.75" header="0.3" footer="0.3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7409" r:id="rId4">
          <objectPr defaultSize="0" autoPict="0" r:id="rId5">
            <anchor moveWithCells="1" sizeWithCells="1">
              <from>
                <xdr:col>6</xdr:col>
                <xdr:colOff>161925</xdr:colOff>
                <xdr:row>2</xdr:row>
                <xdr:rowOff>85725</xdr:rowOff>
              </from>
              <to>
                <xdr:col>9</xdr:col>
                <xdr:colOff>190500</xdr:colOff>
                <xdr:row>5</xdr:row>
                <xdr:rowOff>57150</xdr:rowOff>
              </to>
            </anchor>
          </objectPr>
        </oleObject>
      </mc:Choice>
      <mc:Fallback>
        <oleObject progId="Equation.3" shapeId="17409" r:id="rId4"/>
      </mc:Fallback>
    </mc:AlternateContent>
    <mc:AlternateContent xmlns:mc="http://schemas.openxmlformats.org/markup-compatibility/2006">
      <mc:Choice Requires="x14">
        <oleObject progId="Equation.3" shapeId="17410" r:id="rId6">
          <objectPr defaultSize="0" r:id="rId7">
            <anchor moveWithCells="1" sizeWithCells="1">
              <from>
                <xdr:col>9</xdr:col>
                <xdr:colOff>514350</xdr:colOff>
                <xdr:row>2</xdr:row>
                <xdr:rowOff>9525</xdr:rowOff>
              </from>
              <to>
                <xdr:col>12</xdr:col>
                <xdr:colOff>85725</xdr:colOff>
                <xdr:row>4</xdr:row>
                <xdr:rowOff>142875</xdr:rowOff>
              </to>
            </anchor>
          </objectPr>
        </oleObject>
      </mc:Choice>
      <mc:Fallback>
        <oleObject progId="Equation.3" shapeId="17410" r:id="rId6"/>
      </mc:Fallback>
    </mc:AlternateContent>
    <mc:AlternateContent xmlns:mc="http://schemas.openxmlformats.org/markup-compatibility/2006">
      <mc:Choice Requires="x14">
        <oleObject progId="Equation.3" shapeId="17411" r:id="rId8">
          <objectPr defaultSize="0" autoPict="0" r:id="rId9">
            <anchor moveWithCells="1" sizeWithCells="1">
              <from>
                <xdr:col>0</xdr:col>
                <xdr:colOff>533400</xdr:colOff>
                <xdr:row>2</xdr:row>
                <xdr:rowOff>57150</xdr:rowOff>
              </from>
              <to>
                <xdr:col>5</xdr:col>
                <xdr:colOff>381000</xdr:colOff>
                <xdr:row>5</xdr:row>
                <xdr:rowOff>28575</xdr:rowOff>
              </to>
            </anchor>
          </objectPr>
        </oleObject>
      </mc:Choice>
      <mc:Fallback>
        <oleObject progId="Equation.3" shapeId="17411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Title Sheet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References</vt:lpstr>
      <vt:lpstr>'Title Sheet'!_ftn1</vt:lpstr>
      <vt:lpstr>'Title Sheet'!_ftnref1</vt:lpstr>
      <vt:lpstr>References!APHA_SMWW_1999</vt:lpstr>
      <vt:lpstr>References!ISO_7888</vt:lpstr>
      <vt:lpstr>'Title Sheet'!Print_Area</vt:lpstr>
      <vt:lpstr>'Table S1'!Table_Sensor_Characteristics</vt:lpstr>
    </vt:vector>
  </TitlesOfParts>
  <Company>Tartu Ülikool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Irja Helm</dc:creator>
  <cp:lastModifiedBy>Ivo Leito</cp:lastModifiedBy>
  <cp:lastPrinted>2017-12-20T10:34:10Z</cp:lastPrinted>
  <dcterms:created xsi:type="dcterms:W3CDTF">2017-03-30T08:17:49Z</dcterms:created>
  <dcterms:modified xsi:type="dcterms:W3CDTF">2018-05-09T05:23:05Z</dcterms:modified>
</cp:coreProperties>
</file>